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720" activeTab="0"/>
  </bookViews>
  <sheets>
    <sheet name="選定書" sheetId="1" r:id="rId1"/>
    <sheet name="変更履歴" sheetId="2" state="veryHidden" r:id="rId2"/>
    <sheet name="マクロ入出力値" sheetId="3" state="veryHidden" r:id="rId3"/>
    <sheet name="タンク基礎データ" sheetId="4" state="veryHidden" r:id="rId4"/>
    <sheet name="膨張係数" sheetId="5" state="veryHidden" r:id="rId5"/>
    <sheet name="image" sheetId="6" state="veryHidden" r:id="rId6"/>
  </sheets>
  <definedNames>
    <definedName name="_xlnm.Print_Area" localSheetId="0">'選定書'!$A$1:$R$74</definedName>
  </definedNames>
  <calcPr fullCalcOnLoad="1"/>
</workbook>
</file>

<file path=xl/comments1.xml><?xml version="1.0" encoding="utf-8"?>
<comments xmlns="http://schemas.openxmlformats.org/spreadsheetml/2006/main">
  <authors>
    <author>0811</author>
  </authors>
  <commentList>
    <comment ref="C66" authorId="0">
      <text>
        <r>
          <rPr>
            <sz val="9"/>
            <rFont val="MS P ゴシック"/>
            <family val="3"/>
          </rPr>
          <t>選択有り</t>
        </r>
      </text>
    </comment>
  </commentList>
</comments>
</file>

<file path=xl/comments4.xml><?xml version="1.0" encoding="utf-8"?>
<comments xmlns="http://schemas.openxmlformats.org/spreadsheetml/2006/main">
  <authors>
    <author>山本 真精</author>
  </authors>
  <commentList>
    <comment ref="K4" authorId="0">
      <text>
        <r>
          <rPr>
            <b/>
            <sz val="9"/>
            <rFont val="ＭＳ Ｐゴシック"/>
            <family val="3"/>
          </rPr>
          <t xml:space="preserve">150530
</t>
        </r>
        <r>
          <rPr>
            <sz val="9"/>
            <rFont val="ＭＳ Ｐゴシック"/>
            <family val="3"/>
          </rPr>
          <t xml:space="preserve">IF(AND(選定書!$H$61&lt;=H4,選定書!$H$51&lt;=I4,選定書!$N$45&lt;=J4),1,0)
↓
IF(AND(選定書!$H$61&lt;=H4,選定書!$H$51&lt;=I4,選定書!$N$38&lt;=J4),1,0)へ変更した。
</t>
        </r>
        <r>
          <rPr>
            <b/>
            <sz val="9"/>
            <rFont val="ＭＳ Ｐゴシック"/>
            <family val="3"/>
          </rPr>
          <t xml:space="preserve">
150608</t>
        </r>
        <r>
          <rPr>
            <sz val="9"/>
            <rFont val="ＭＳ Ｐゴシック"/>
            <family val="3"/>
          </rPr>
          <t xml:space="preserve">
IF(AND(選定書!$H$61&lt;=H4,選定書!$H$51&lt;=I4,選定書!$N$38&lt;=J4),1,0)
↓
IF(AND(選定書!$H$61&lt;=H4,選定書!$H$51&lt;=I4,選定書!$N$38&lt;=J4,選定書!$N$45&lt;=J4),1,0)へ変更した。</t>
        </r>
      </text>
    </comment>
  </commentList>
</comments>
</file>

<file path=xl/sharedStrings.xml><?xml version="1.0" encoding="utf-8"?>
<sst xmlns="http://schemas.openxmlformats.org/spreadsheetml/2006/main" count="419" uniqueCount="307">
  <si>
    <t>システム全水量</t>
  </si>
  <si>
    <t>システム水初期温度</t>
  </si>
  <si>
    <t>システム最高設定温度</t>
  </si>
  <si>
    <t>補給水圧力</t>
  </si>
  <si>
    <t>循環ポンプ揚程</t>
  </si>
  <si>
    <t>安全弁セット圧</t>
  </si>
  <si>
    <t>膨張タンク容量算定</t>
  </si>
  <si>
    <t>タンク最低使用圧力：</t>
  </si>
  <si>
    <t>タンク最高使用圧力：</t>
  </si>
  <si>
    <t>膨張水量：</t>
  </si>
  <si>
    <t>ＶＳ（システム全水量）　×　ε（膨張係数）</t>
  </si>
  <si>
    <t xml:space="preserve"> 選定に必要なデｰタ</t>
  </si>
  <si>
    <t xml:space="preserve"> </t>
  </si>
  <si>
    <t>タ ン ク 総 容 量　   ：</t>
  </si>
  <si>
    <t>寸法：φ205×320H、接続口径：20A</t>
  </si>
  <si>
    <t>最高使用圧力：0.49ＭＰａ、最高使用温度：95℃</t>
  </si>
  <si>
    <t>寸法：φ275×430H、接続口径：20A</t>
  </si>
  <si>
    <t>寸法：φ320×380H、接続口径：20A</t>
  </si>
  <si>
    <t>寸法：φ400×420H、接続口径：25A</t>
  </si>
  <si>
    <t>寸法：φ400×590H、接続口径：25A</t>
  </si>
  <si>
    <t>寸法：φ775×1400H、接続口径：32A</t>
  </si>
  <si>
    <t>寸法：φ406×860H、接続口径：25A</t>
  </si>
  <si>
    <t>型  式  の  決  定</t>
  </si>
  <si>
    <t>空気封入圧力：</t>
  </si>
  <si>
    <t>　給水管の逆止弁以降のすべての配管と機器の</t>
  </si>
  <si>
    <t>　算出にあたっては、１０％の余裕を見てください。</t>
  </si>
  <si>
    <t>　給湯用の場合</t>
  </si>
  <si>
    <t>　空調用の場合</t>
  </si>
  <si>
    <t>㍑</t>
  </si>
  <si>
    <t>℃</t>
  </si>
  <si>
    <t>℃</t>
  </si>
  <si>
    <t>ＭＰａ・Ｇ</t>
  </si>
  <si>
    <t>ｍ</t>
  </si>
  <si>
    <t>ＭＰａ・Ｇ</t>
  </si>
  <si>
    <t>　　　　　　　　+ 器具に必要な圧力　</t>
  </si>
  <si>
    <t>　保有水量を合計して求めます。</t>
  </si>
  <si>
    <t>１、</t>
  </si>
  <si>
    <r>
      <t>Ｐ</t>
    </r>
    <r>
      <rPr>
        <vertAlign val="subscript"/>
        <sz val="10"/>
        <rFont val="ＭＳ Ｐゴシック"/>
        <family val="3"/>
      </rPr>
      <t>１</t>
    </r>
  </si>
  <si>
    <t>＝</t>
  </si>
  <si>
    <r>
      <t>Ｐ</t>
    </r>
    <r>
      <rPr>
        <vertAlign val="subscript"/>
        <sz val="10"/>
        <rFont val="ＭＳ Ｐゴシック"/>
        <family val="3"/>
      </rPr>
      <t>２</t>
    </r>
  </si>
  <si>
    <t>＝</t>
  </si>
  <si>
    <t>ＶＥ</t>
  </si>
  <si>
    <t>＝</t>
  </si>
  <si>
    <t>＝</t>
  </si>
  <si>
    <t>Ｖ</t>
  </si>
  <si>
    <t>＝</t>
  </si>
  <si>
    <t>ＶＥ</t>
  </si>
  <si>
    <t xml:space="preserve"> ＭＰａ・Ｇ</t>
  </si>
  <si>
    <t>1  －</t>
  </si>
  <si>
    <t xml:space="preserve"> 密閉タンク位置図</t>
  </si>
  <si>
    <t>　　　　　　（最低 ０．０７ＭＰａ）</t>
  </si>
  <si>
    <t>システム水最高点までの高さ　Ｈ [ｍ]　÷　１００</t>
  </si>
  <si>
    <t>　　　　　　　　　　　+ 空気抜きに必要な圧力　</t>
  </si>
  <si>
    <t>　　　　　（最低 ０．０３ＭＰａ）　</t>
  </si>
  <si>
    <t>件名</t>
  </si>
  <si>
    <t>様</t>
  </si>
  <si>
    <r>
      <t>Ｐ</t>
    </r>
    <r>
      <rPr>
        <vertAlign val="subscript"/>
        <sz val="10"/>
        <rFont val="ＭＳ Ｐゴシック"/>
        <family val="3"/>
      </rPr>
      <t>２</t>
    </r>
    <r>
      <rPr>
        <sz val="10"/>
        <rFont val="ＭＳ Ｐゴシック"/>
        <family val="3"/>
      </rPr>
      <t>＋0.1</t>
    </r>
  </si>
  <si>
    <r>
      <t>Ｐ</t>
    </r>
    <r>
      <rPr>
        <vertAlign val="subscript"/>
        <sz val="10"/>
        <rFont val="ＭＳ Ｐゴシック"/>
        <family val="3"/>
      </rPr>
      <t>１</t>
    </r>
    <r>
      <rPr>
        <sz val="10"/>
        <rFont val="ＭＳ Ｐゴシック"/>
        <family val="3"/>
      </rPr>
      <t>＋0.1</t>
    </r>
  </si>
  <si>
    <t>＋　0.1</t>
  </si>
  <si>
    <t>給湯用､空調用の別</t>
  </si>
  <si>
    <t>給湯用､空調用の別</t>
  </si>
  <si>
    <t>入力値</t>
  </si>
  <si>
    <t>システム全水量</t>
  </si>
  <si>
    <t>システム水初期温度</t>
  </si>
  <si>
    <t>システム最高設定温度</t>
  </si>
  <si>
    <t>補給水圧力</t>
  </si>
  <si>
    <t>循環ポンプ揚程</t>
  </si>
  <si>
    <t>安全弁セット圧</t>
  </si>
  <si>
    <t>膨張係数</t>
  </si>
  <si>
    <t>出力値</t>
  </si>
  <si>
    <t>膨張水量</t>
  </si>
  <si>
    <t>タンク総容量</t>
  </si>
  <si>
    <t>定価</t>
  </si>
  <si>
    <t>総容量：18㍑、最大吸収容量：11.4㍑</t>
  </si>
  <si>
    <t>総容量：8㍑、最大吸収容量：5.3㍑</t>
  </si>
  <si>
    <t>総容量：24㍑、最大吸収容量：16.3㍑</t>
  </si>
  <si>
    <t>総容量：35㍑、最大吸収容量23.8：㍑</t>
  </si>
  <si>
    <t>総容量：50㍑、最大吸収容量：30㍑</t>
  </si>
  <si>
    <t>総容量：80㍑、最大吸収容量50：㍑</t>
  </si>
  <si>
    <t>総容量：150㍑、最大吸収容量：95㍑</t>
  </si>
  <si>
    <t>総容量：300㍑、最大吸収容量：190㍑</t>
  </si>
  <si>
    <t>総容量：500㍑、最大吸収容量：315㍑</t>
  </si>
  <si>
    <t>総容量：19㍑、最大吸収容量：12㍑</t>
  </si>
  <si>
    <t>総容量：30㍑、最大吸収容量：12㍑</t>
  </si>
  <si>
    <t>総容量：300㍑、最大吸収容量：240㍑</t>
  </si>
  <si>
    <t>総容量：400㍑、最大吸収容量：320㍑</t>
  </si>
  <si>
    <t>総容量：500㍑、最大吸収容量：400㍑</t>
  </si>
  <si>
    <t>総容量：600㍑、最大吸収容量：480㍑</t>
  </si>
  <si>
    <t>総容量：800㍑、最大吸収容量：640㍑</t>
  </si>
  <si>
    <t>総容量：1000㍑、最大吸収容量：800㍑</t>
  </si>
  <si>
    <t>総容量：1200㍑、最大吸収容量：960㍑</t>
  </si>
  <si>
    <t>総容量：1400㍑、最大吸収容量：1120㍑</t>
  </si>
  <si>
    <t>総容量：1600㍑、最大吸収容量：1280㍑</t>
  </si>
  <si>
    <t>総容量：2000㍑、最大吸収容量：1600㍑</t>
  </si>
  <si>
    <t>寸法</t>
  </si>
  <si>
    <t>容量</t>
  </si>
  <si>
    <t>型式</t>
  </si>
  <si>
    <t>密閉タンク基礎データ</t>
  </si>
  <si>
    <t>選定型式</t>
  </si>
  <si>
    <t>最高使用圧力：0.20ＭＰａ、最高使用温度：95℃</t>
  </si>
  <si>
    <t>容量</t>
  </si>
  <si>
    <t>最高使用圧力／最高使用温度</t>
  </si>
  <si>
    <t>最高使用圧力／最高使用温度</t>
  </si>
  <si>
    <t>備考</t>
  </si>
  <si>
    <t>×</t>
  </si>
  <si>
    <t>水の容積</t>
  </si>
  <si>
    <t>最低使用温度℃</t>
  </si>
  <si>
    <t>容積</t>
  </si>
  <si>
    <t>最高使用温度℃</t>
  </si>
  <si>
    <t>温度差</t>
  </si>
  <si>
    <t>最低温度の水の容積</t>
  </si>
  <si>
    <t>最高温度の水の容積</t>
  </si>
  <si>
    <t>膨張係数</t>
  </si>
  <si>
    <t>水の膨張係数の計算</t>
  </si>
  <si>
    <t>　　℃</t>
  </si>
  <si>
    <t>不凍液（50%）の膨張係数の計算</t>
  </si>
  <si>
    <t>不凍液（50%）</t>
  </si>
  <si>
    <t>の容積</t>
  </si>
  <si>
    <t>a=</t>
  </si>
  <si>
    <t>b=</t>
  </si>
  <si>
    <t>c=</t>
  </si>
  <si>
    <t>α=</t>
  </si>
  <si>
    <t>P1計算式</t>
  </si>
  <si>
    <t>P2計算式</t>
  </si>
  <si>
    <t>鋼板製､ステンレス製の別</t>
  </si>
  <si>
    <t>水</t>
  </si>
  <si>
    <t>１．</t>
  </si>
  <si>
    <t>６．</t>
  </si>
  <si>
    <t>５．</t>
  </si>
  <si>
    <t>４．</t>
  </si>
  <si>
    <t>３．</t>
  </si>
  <si>
    <t>２．</t>
  </si>
  <si>
    <t>７．</t>
  </si>
  <si>
    <t>８．</t>
  </si>
  <si>
    <t>総容量：3000㍑、最大吸収容量：2400㍑</t>
  </si>
  <si>
    <t>総容量：4000㍑、最大吸収容量：3200㍑</t>
  </si>
  <si>
    <t>密閉式膨張タンク選定フォーマット</t>
  </si>
  <si>
    <t>総容量：60㍑、最大吸収容量：48㍑</t>
  </si>
  <si>
    <t>総容量：80㍑、最大吸収容量：64㍑</t>
  </si>
  <si>
    <t xml:space="preserve"> カタログ改定に伴い、選定される機種を変更</t>
  </si>
  <si>
    <t>ソフトのバージョンによって？右肩のブランドマークが印刷時に拡大される対策</t>
  </si>
  <si>
    <t>岡部</t>
  </si>
  <si>
    <t>藤井</t>
  </si>
  <si>
    <t>担当</t>
  </si>
  <si>
    <t>内容</t>
  </si>
  <si>
    <t>日付</t>
  </si>
  <si>
    <t>最高使用圧力：0.6ＭＰａ、最高使用温度：95℃</t>
  </si>
  <si>
    <t>最高使用圧力：0.8ＭＰａ、最高使用温度：95℃</t>
  </si>
  <si>
    <t>AC対応</t>
  </si>
  <si>
    <t>山本真</t>
  </si>
  <si>
    <t>0.8MPa.0.6MPa仕様に変更(BFA-12N-210N、AFX、AFU）</t>
  </si>
  <si>
    <t>寸法：φ305×430H、接続口径：20A</t>
  </si>
  <si>
    <t>寸法：φ305×550H、接続口径：20A</t>
  </si>
  <si>
    <t>寸法：φ356×720H、接続口径：25A</t>
  </si>
  <si>
    <t>寸法：φ406×930H、接続口径：25A</t>
  </si>
  <si>
    <t>寸法：φ406×1200H、接続口径：25A</t>
  </si>
  <si>
    <t>寸法：φ508×1150H、接続口径：25A</t>
  </si>
  <si>
    <t>寸法：φ508×1450H、接続口径：25A</t>
  </si>
  <si>
    <t>寸法：φ610×1350H、接続口径：32A</t>
  </si>
  <si>
    <t>寸法：φ610×1430H、接続口径：32A</t>
  </si>
  <si>
    <t>寸法：φ610×1500H、接続口径：32A</t>
  </si>
  <si>
    <t>寸法：φ409×758H、接続口径：25A</t>
  </si>
  <si>
    <t>寸法：φ459×807H、接続口径：25A</t>
  </si>
  <si>
    <t>寸法：φ509×860H、接続口径：25A</t>
  </si>
  <si>
    <t>総容量：109㍑、最大吸収容量：87㍑</t>
  </si>
  <si>
    <t>寸法：φ610×1110H、接続口径：25A</t>
  </si>
  <si>
    <t>寸法：φ610×1410H、接続口径：25A</t>
  </si>
  <si>
    <t>寸法：φ762×1270H、接続口径：25A</t>
  </si>
  <si>
    <t>寸法：φ762×1480H、接続口径：25A</t>
  </si>
  <si>
    <t>寸法：φ762×1710H、接続口径：40A</t>
  </si>
  <si>
    <t>寸法：φ813×1950H、接続口径：40A</t>
  </si>
  <si>
    <t>寸法：φ918×2209H、接続口径：40A</t>
  </si>
  <si>
    <t>寸法：φ918×2524H、接続口径：40A</t>
  </si>
  <si>
    <t>寸法：φ918×2839H、接続口径：40A</t>
  </si>
  <si>
    <t>寸法：φ1224×2185H、接続口径：50A</t>
  </si>
  <si>
    <t>寸法：φ1224×2529H、接続口径：50A</t>
  </si>
  <si>
    <t>寸法：φ1224×3437H、接続口径：50A</t>
  </si>
  <si>
    <t>寸法：φ1524×3099H、接続口径：50A</t>
  </si>
  <si>
    <t>寸法：φ1524×3699H、接続口径：50A</t>
  </si>
  <si>
    <t>寸法：φ406×758H、接続口径：25A</t>
  </si>
  <si>
    <t>寸法：φ456×804H、接続口径：25A</t>
  </si>
  <si>
    <t>寸法：φ508×857H、接続口径：25A</t>
  </si>
  <si>
    <t>寸法：φ608×1111H、接続口径：25A</t>
  </si>
  <si>
    <t>寸法：φ608×1438H、接続口径：25A</t>
  </si>
  <si>
    <t>寸法：φ760×1309H、接続口径：25A</t>
  </si>
  <si>
    <t>寸法：φ760×1528H、接続口径：25A</t>
  </si>
  <si>
    <t>寸法：φ912×2193H、接続口径：40A</t>
  </si>
  <si>
    <t>寸法：φ912×2508H、接続口径：40A</t>
  </si>
  <si>
    <t>寸法：φ912×2809H、接続口径：40A</t>
  </si>
  <si>
    <t>寸法：φ1216×2185H、接続口径：50A</t>
  </si>
  <si>
    <t>寸法：φ1216×2545H、接続口径：50A</t>
  </si>
  <si>
    <t>寸法：φ1216×2425H、接続口径：50A</t>
  </si>
  <si>
    <t>寸法：φ1520×3107H、接続口径：50A</t>
  </si>
  <si>
    <t>寸法：φ1520×3687H、接続口径：50A</t>
  </si>
  <si>
    <t>給湯用</t>
  </si>
  <si>
    <t>構造規格変更による改訂。全て0.8MPa.0.6MPa仕様に変更 AFX-60-100,AFU-3000-5000追加</t>
  </si>
  <si>
    <t>寸法：φ760×1754H、接続口径：40A</t>
  </si>
  <si>
    <t>寸法：φ912×1656H、接続口径：40A</t>
  </si>
  <si>
    <t>HM-24：重量、本体高さ、最大吸収容量変更　HM-60：削除</t>
  </si>
  <si>
    <t>堀</t>
  </si>
  <si>
    <t>HM-8,18,50,100：追加</t>
  </si>
  <si>
    <r>
      <t>寸法：φ200×340H、接続口径：20A</t>
    </r>
  </si>
  <si>
    <r>
      <t>総容量：8㍑、最大吸収容量：6.4㍑</t>
    </r>
  </si>
  <si>
    <r>
      <t>寸法：φ270×415H、接続口径：25A</t>
    </r>
  </si>
  <si>
    <r>
      <t>総容量：18㍑、最大吸収容量：14.4㍑</t>
    </r>
  </si>
  <si>
    <r>
      <t>寸法：φ365×730H、接続口径：25A</t>
    </r>
  </si>
  <si>
    <r>
      <t>総容量：50㍑、最大吸収容量：30㍑</t>
    </r>
  </si>
  <si>
    <t>最高使用圧力：0.19ＭＰａ、最高使用温度：95℃</t>
  </si>
  <si>
    <r>
      <t>寸法：φ495×820H、接続口径：25A</t>
    </r>
  </si>
  <si>
    <r>
      <t>総容量：100㍑、最大吸収容量：60㍑</t>
    </r>
  </si>
  <si>
    <t>AC廃番につき選択不可とした</t>
  </si>
  <si>
    <t>選定書計算式変更(L49,H51,H61)</t>
  </si>
  <si>
    <t>マクロ入出力値シート再表示不可に設定</t>
  </si>
  <si>
    <t>BFA-12NX～80NX廃番につき選択不可とした</t>
  </si>
  <si>
    <t>宛先、件名、備考欄 縮小して全体を表示するとした</t>
  </si>
  <si>
    <t>鋼板製</t>
  </si>
  <si>
    <t>安全弁セット圧 - 循環ポンプ揚程</t>
  </si>
  <si>
    <t>総容量：170㍑、最大吸収容量：136㍑</t>
  </si>
  <si>
    <t>総容量：220㍑、最大吸収容量：176㍑</t>
  </si>
  <si>
    <t>内作</t>
  </si>
  <si>
    <t>総容量：300㍑、最大吸収容量：246㍑</t>
  </si>
  <si>
    <t>総容量：500㍑、最大吸収容量：401㍑</t>
  </si>
  <si>
    <t>総容量：3010㍑、最大吸収容量：2400㍑</t>
  </si>
  <si>
    <t>総容量：5060㍑、最大吸収容量：4040㍑</t>
  </si>
  <si>
    <t>堀(若林)</t>
  </si>
  <si>
    <t>寸法：φ400×810H、接続口径：25A</t>
  </si>
  <si>
    <t>寸法：φ500×740H、接続口径：25A</t>
  </si>
  <si>
    <t>総容量：100㍑、最大吸収容量：63㍑</t>
  </si>
  <si>
    <t>寸法：φ500×945H、接続口径：25A</t>
  </si>
  <si>
    <t>寸法：φ605×1035H、接続口径：32A</t>
  </si>
  <si>
    <t>総容量：200㍑、最大吸収容量：126㍑</t>
  </si>
  <si>
    <t>寸法：φ650×1215H、接続口径：32A</t>
  </si>
  <si>
    <t>総容量：56㍑、最大吸収容量：40㍑</t>
  </si>
  <si>
    <t>総容量：90㍑、最大吸収容量：59㍑</t>
  </si>
  <si>
    <t>総容量：99㍑、最大吸収容量：59㍑</t>
  </si>
  <si>
    <t>総容量：133㍑、最大吸収容量：59㍑</t>
  </si>
  <si>
    <t>寸法：φ270×542H、接続口径：25A</t>
  </si>
  <si>
    <t>総容量：24㍑、最大吸収容量：19.2㍑</t>
  </si>
  <si>
    <t>総容量：208㍑、最大吸収容量：165㍑</t>
  </si>
  <si>
    <t>総容量：5050㍑、最大吸収容量：4040㍑</t>
  </si>
  <si>
    <t>AC-8</t>
  </si>
  <si>
    <t>AC-18</t>
  </si>
  <si>
    <t>AC-24</t>
  </si>
  <si>
    <t>AC-35</t>
  </si>
  <si>
    <t>AC-50</t>
  </si>
  <si>
    <t>JTX-80</t>
  </si>
  <si>
    <t>JTX-100</t>
  </si>
  <si>
    <t>JTX-150</t>
  </si>
  <si>
    <t>JTX-200</t>
  </si>
  <si>
    <t>JTX-300</t>
  </si>
  <si>
    <t>JTX-500</t>
  </si>
  <si>
    <t>BFA-12NX</t>
  </si>
  <si>
    <t>BFA-20NX</t>
  </si>
  <si>
    <t>BFA-30NX(第二種圧力容器)</t>
  </si>
  <si>
    <t>BFA-42NX(第二種圧力容器)</t>
  </si>
  <si>
    <t>BFA-60NX(第二種圧力容器)</t>
  </si>
  <si>
    <t>BFA-80NX(第二種圧力容器)</t>
  </si>
  <si>
    <t>BFA-100NX(第二種圧力容器)</t>
  </si>
  <si>
    <t>BFA-125NX(第二種圧力容器)</t>
  </si>
  <si>
    <t>BFA-160NX(第二種圧力容器)</t>
  </si>
  <si>
    <t>BFA-180NX(第二種圧力容器)</t>
  </si>
  <si>
    <t>BFA-210NX(第二種圧力容器)</t>
  </si>
  <si>
    <t>AFX-60NX(第二種圧力容器)</t>
  </si>
  <si>
    <t>AFX-80NX(第二種圧力容器)</t>
  </si>
  <si>
    <t>AFX-100NX(第二種圧力容器)</t>
  </si>
  <si>
    <t>AFX-200NX(第二種圧力容器)</t>
  </si>
  <si>
    <t>AFX-300NX(第二種圧力容器)</t>
  </si>
  <si>
    <t>AFX-400NX(第二種圧力容器)</t>
  </si>
  <si>
    <t>AFX-500NX(第二種圧力容器)</t>
  </si>
  <si>
    <t>AFX-600NX(第二種圧力容器)</t>
  </si>
  <si>
    <t>AFX-800NX(第二種圧力容器)</t>
  </si>
  <si>
    <t>AFX-1000NX(第二種圧力容器)</t>
  </si>
  <si>
    <t>AFX-1200NX(第二種圧力容器)</t>
  </si>
  <si>
    <t>AFX-1400NX(第二種圧力容器)</t>
  </si>
  <si>
    <t>AFX-1600NX(第二種圧力容器)</t>
  </si>
  <si>
    <t>AFX-2000NX(第二種圧力容器)</t>
  </si>
  <si>
    <t>AFX-3000NX(第二種圧力容器)</t>
  </si>
  <si>
    <t>AFX-4000NX(第二種圧力容器)</t>
  </si>
  <si>
    <t>AFX-5000NX(第二種圧力容器)</t>
  </si>
  <si>
    <t>HM-8</t>
  </si>
  <si>
    <t>HM-18</t>
  </si>
  <si>
    <t>HM-24</t>
  </si>
  <si>
    <t>HM-50</t>
  </si>
  <si>
    <t>HM-100</t>
  </si>
  <si>
    <t>AFU-60NX(第二種圧力容器)</t>
  </si>
  <si>
    <t>AFU-80NX(第二種圧力容器)</t>
  </si>
  <si>
    <t>AFU-100NX(第二種圧力容器)</t>
  </si>
  <si>
    <t>AFU-200NX(第二種圧力容器)</t>
  </si>
  <si>
    <t>AFU-300NX(第二種圧力容器)</t>
  </si>
  <si>
    <t>AFU-400NX(第二種圧力容器)</t>
  </si>
  <si>
    <t>AFU-500NX(第二種圧力容器)</t>
  </si>
  <si>
    <t>AFU-600NX(第二種圧力容器)</t>
  </si>
  <si>
    <t>AFU-800NX(第二種圧力容器)</t>
  </si>
  <si>
    <t>AFU-1000NX(第二種圧力容器)</t>
  </si>
  <si>
    <t>AFU-1200NX(第二種圧力容器)</t>
  </si>
  <si>
    <t>AFU-1400NX(第二種圧力容器)</t>
  </si>
  <si>
    <t>AFU-1600NX(第二種圧力容器)</t>
  </si>
  <si>
    <t>AFU-2000NX(第二種圧力容器)</t>
  </si>
  <si>
    <t>AFU-3000NX(第二種圧力容器)</t>
  </si>
  <si>
    <t>AFU-4000NX(第二種圧力容器)</t>
  </si>
  <si>
    <t>AFU-5000NX(第二種圧力容器)</t>
  </si>
  <si>
    <t>選定型式選択可能に変更、エラーコード修正、輸入品→内作品 容量修正</t>
  </si>
  <si>
    <t>総容量：220㍑、最大吸収容量：181㍑</t>
  </si>
  <si>
    <t>総容量：290㍑、最大吸収容量：236㍑</t>
  </si>
  <si>
    <t>総容量：320㍑、最大吸収容量：250㍑</t>
  </si>
  <si>
    <t>総容量：340㍑、最大吸収容量：270㍑</t>
  </si>
  <si>
    <t>BFA-100NX(第二種圧力容器)</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</si>
</sst>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
    <numFmt numFmtId="178" formatCode="0.00000"/>
    <numFmt numFmtId="179" formatCode="0.0000"/>
    <numFmt numFmtId="180" formatCode="#\ ?/4"/>
    <numFmt numFmtId="181" formatCode="#\ ?/2"/>
    <numFmt numFmtId="182" formatCode="0.0_);[Red]\(0.0\)"/>
    <numFmt numFmtId="183" formatCode="0.000000"/>
    <numFmt numFmtId="184" formatCode="0.0000_ "/>
    <numFmt numFmtId="185" formatCode="0.00_ "/>
    <numFmt numFmtId="186" formatCode="0.00000_ "/>
    <numFmt numFmtId="187" formatCode="yyyy/m/d;@"/>
    <numFmt numFmtId="188" formatCode="[$]ggge&quot;年&quot;m&quot;月&quot;d&quot;日&quot;;@"/>
    <numFmt numFmtId="189" formatCode="[$-411]gge&quot;年&quot;m&quot;月&quot;d&quot;日&quot;;@"/>
    <numFmt numFmtId="190" formatCode="[$]gge&quot;年&quot;m&quot;月&quot;d&quot;日&quot;;@"/>
    <numFmt numFmtId="191" formatCode="0.000000_ "/>
    <numFmt numFmtId="192" formatCode="[$]ggge&quot;年&quot;m&quot;月&quot;d&quot;日&quot;;@"/>
    <numFmt numFmtId="193" formatCode="[$]gge&quot;年&quot;m&quot;月&quot;d&quot;日&quot;;@"/>
  </numFmts>
  <fonts count="54">
    <font>
      <sz val="11"/>
      <name val="ＭＳ Ｐゴシック"/>
      <family val="3"/>
    </font>
    <font>
      <sz val="6"/>
      <name val="ＭＳ Ｐゴシック"/>
      <family val="3"/>
    </font>
    <font>
      <b/>
      <u val="single"/>
      <sz val="11"/>
      <name val="ＭＳ Ｐゴシック"/>
      <family val="3"/>
    </font>
    <font>
      <b/>
      <sz val="11"/>
      <name val="ＭＳ Ｐゴシック"/>
      <family val="3"/>
    </font>
    <font>
      <sz val="8"/>
      <name val="ＭＳ Ｐゴシック"/>
      <family val="3"/>
    </font>
    <font>
      <sz val="10"/>
      <name val="ＭＳ Ｐゴシック"/>
      <family val="3"/>
    </font>
    <font>
      <sz val="9"/>
      <name val="ＭＳ Ｐゴシック"/>
      <family val="3"/>
    </font>
    <font>
      <vertAlign val="subscript"/>
      <sz val="10"/>
      <name val="ＭＳ Ｐゴシック"/>
      <family val="3"/>
    </font>
    <font>
      <sz val="11"/>
      <color indexed="10"/>
      <name val="ＭＳ Ｐゴシック"/>
      <family val="3"/>
    </font>
    <font>
      <b/>
      <sz val="14"/>
      <name val="ＭＳ Ｐゴシック"/>
      <family val="3"/>
    </font>
    <font>
      <u val="single"/>
      <sz val="11"/>
      <color indexed="12"/>
      <name val="ＭＳ Ｐゴシック"/>
      <family val="3"/>
    </font>
    <font>
      <u val="single"/>
      <sz val="11"/>
      <color indexed="36"/>
      <name val="ＭＳ Ｐゴシック"/>
      <family val="3"/>
    </font>
    <font>
      <b/>
      <sz val="16"/>
      <name val="ＭＳ Ｐゴシック"/>
      <family val="3"/>
    </font>
    <font>
      <b/>
      <sz val="12"/>
      <name val="ＭＳ Ｐゴシック"/>
      <family val="3"/>
    </font>
    <font>
      <sz val="9"/>
      <name val="MS P ゴシック"/>
      <family val="3"/>
    </font>
    <font>
      <b/>
      <sz val="9"/>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b/>
      <sz val="14"/>
      <color indexed="8"/>
      <name val="ＭＳ Ｐゴシック"/>
      <family val="3"/>
    </font>
    <font>
      <sz val="12"/>
      <color indexed="8"/>
      <name val="ＭＳ Ｐゴシック"/>
      <family val="3"/>
    </font>
    <font>
      <b/>
      <u val="single"/>
      <sz val="12"/>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41"/>
        <bgColor indexed="64"/>
      </patternFill>
    </fill>
    <fill>
      <patternFill patternType="solid">
        <fgColor indexed="45"/>
        <bgColor indexed="64"/>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
      <patternFill patternType="solid">
        <fgColor rgb="FFC0C0C0"/>
        <bgColor indexed="64"/>
      </patternFill>
    </fill>
    <fill>
      <patternFill patternType="solid">
        <fgColor indexed="44"/>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medium"/>
      <top style="medium"/>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style="medium"/>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11" fillId="0" borderId="0" applyNumberFormat="0" applyFill="0" applyBorder="0" applyAlignment="0" applyProtection="0"/>
    <xf numFmtId="0" fontId="52" fillId="32" borderId="0" applyNumberFormat="0" applyBorder="0" applyAlignment="0" applyProtection="0"/>
  </cellStyleXfs>
  <cellXfs count="187">
    <xf numFmtId="0" fontId="0" fillId="0" borderId="0" xfId="0" applyAlignment="1">
      <alignment/>
    </xf>
    <xf numFmtId="0" fontId="4" fillId="0" borderId="0" xfId="0" applyFont="1" applyAlignment="1">
      <alignment/>
    </xf>
    <xf numFmtId="0" fontId="0" fillId="0" borderId="10" xfId="0" applyBorder="1" applyAlignment="1">
      <alignment horizontal="left" vertical="center"/>
    </xf>
    <xf numFmtId="0" fontId="0" fillId="0" borderId="10" xfId="0" applyBorder="1" applyAlignment="1">
      <alignment horizontal="center" vertical="center"/>
    </xf>
    <xf numFmtId="0" fontId="3" fillId="0" borderId="0" xfId="0" applyFont="1" applyAlignment="1">
      <alignment horizontal="left" vertical="center"/>
    </xf>
    <xf numFmtId="0" fontId="5" fillId="0" borderId="10" xfId="0" applyFont="1" applyBorder="1" applyAlignment="1">
      <alignment horizontal="center" vertical="center"/>
    </xf>
    <xf numFmtId="0" fontId="4" fillId="0" borderId="10" xfId="0" applyFont="1" applyBorder="1" applyAlignment="1">
      <alignment horizontal="left" vertical="center" shrinkToFit="1"/>
    </xf>
    <xf numFmtId="0" fontId="6" fillId="0" borderId="0" xfId="0" applyFont="1" applyAlignment="1">
      <alignment/>
    </xf>
    <xf numFmtId="0" fontId="5" fillId="0" borderId="0" xfId="0" applyFont="1" applyBorder="1" applyAlignment="1">
      <alignment horizontal="center" vertical="center"/>
    </xf>
    <xf numFmtId="0" fontId="4" fillId="0" borderId="0" xfId="0" applyFont="1" applyBorder="1" applyAlignment="1" applyProtection="1">
      <alignment vertical="center"/>
      <protection/>
    </xf>
    <xf numFmtId="0" fontId="0" fillId="0" borderId="0" xfId="0" applyFill="1" applyAlignment="1">
      <alignment/>
    </xf>
    <xf numFmtId="0" fontId="13" fillId="0" borderId="0" xfId="0" applyFont="1" applyAlignment="1">
      <alignment/>
    </xf>
    <xf numFmtId="0" fontId="0" fillId="0" borderId="0" xfId="0" applyFill="1" applyBorder="1" applyAlignment="1" applyProtection="1">
      <alignment/>
      <protection locked="0"/>
    </xf>
    <xf numFmtId="0" fontId="0" fillId="0" borderId="10" xfId="0" applyBorder="1" applyAlignment="1" applyProtection="1">
      <alignment/>
      <protection/>
    </xf>
    <xf numFmtId="0" fontId="0" fillId="0" borderId="0" xfId="0" applyFill="1" applyBorder="1" applyAlignment="1" applyProtection="1">
      <alignment/>
      <protection/>
    </xf>
    <xf numFmtId="178" fontId="0" fillId="0" borderId="10" xfId="0" applyNumberFormat="1" applyFill="1" applyBorder="1" applyAlignment="1" applyProtection="1">
      <alignment/>
      <protection locked="0"/>
    </xf>
    <xf numFmtId="178" fontId="0" fillId="0" borderId="0" xfId="0" applyNumberFormat="1" applyFill="1" applyBorder="1" applyAlignment="1" applyProtection="1">
      <alignment/>
      <protection locked="0"/>
    </xf>
    <xf numFmtId="183" fontId="0" fillId="33" borderId="11" xfId="0" applyNumberFormat="1" applyFill="1" applyBorder="1" applyAlignment="1" applyProtection="1">
      <alignment/>
      <protection/>
    </xf>
    <xf numFmtId="183" fontId="0" fillId="0" borderId="0" xfId="0" applyNumberFormat="1" applyFill="1" applyBorder="1" applyAlignment="1" applyProtection="1">
      <alignment/>
      <protection/>
    </xf>
    <xf numFmtId="0" fontId="8" fillId="0" borderId="0" xfId="0" applyFont="1" applyAlignment="1">
      <alignment/>
    </xf>
    <xf numFmtId="0" fontId="0" fillId="34" borderId="10" xfId="0" applyFill="1" applyBorder="1" applyAlignment="1">
      <alignment/>
    </xf>
    <xf numFmtId="0" fontId="0" fillId="35" borderId="10" xfId="0" applyFill="1" applyBorder="1" applyAlignment="1">
      <alignment horizontal="center"/>
    </xf>
    <xf numFmtId="178" fontId="0" fillId="0" borderId="10" xfId="0" applyNumberFormat="1" applyBorder="1" applyAlignment="1">
      <alignment/>
    </xf>
    <xf numFmtId="178" fontId="0" fillId="0" borderId="10" xfId="0" applyNumberFormat="1" applyFill="1" applyBorder="1" applyAlignment="1">
      <alignment/>
    </xf>
    <xf numFmtId="0" fontId="0" fillId="0" borderId="10" xfId="0" applyFill="1" applyBorder="1" applyAlignment="1" applyProtection="1">
      <alignment/>
      <protection locked="0"/>
    </xf>
    <xf numFmtId="0" fontId="0" fillId="0" borderId="0" xfId="0" applyFill="1" applyBorder="1" applyAlignment="1">
      <alignment horizontal="center" vertical="center"/>
    </xf>
    <xf numFmtId="11" fontId="0" fillId="0" borderId="0" xfId="0" applyNumberFormat="1" applyAlignment="1">
      <alignment horizontal="right" vertical="center"/>
    </xf>
    <xf numFmtId="0" fontId="0" fillId="0" borderId="0" xfId="0" applyAlignment="1">
      <alignment horizontal="center" vertical="center"/>
    </xf>
    <xf numFmtId="185" fontId="0" fillId="0" borderId="0" xfId="0" applyNumberFormat="1" applyAlignment="1">
      <alignment horizontal="right" vertical="center"/>
    </xf>
    <xf numFmtId="0" fontId="0" fillId="0" borderId="10" xfId="0" applyBorder="1" applyAlignment="1">
      <alignment horizontal="center" vertical="center" shrinkToFit="1"/>
    </xf>
    <xf numFmtId="0" fontId="5" fillId="36" borderId="10" xfId="0" applyFont="1" applyFill="1" applyBorder="1" applyAlignment="1" applyProtection="1">
      <alignment horizontal="center" vertical="center"/>
      <protection locked="0"/>
    </xf>
    <xf numFmtId="3" fontId="4" fillId="0" borderId="10" xfId="0" applyNumberFormat="1" applyFont="1" applyBorder="1" applyAlignment="1" applyProtection="1">
      <alignment horizontal="right" vertical="center"/>
      <protection/>
    </xf>
    <xf numFmtId="0" fontId="5" fillId="36" borderId="10" xfId="0" applyFont="1" applyFill="1" applyBorder="1" applyAlignment="1" applyProtection="1">
      <alignment horizontal="center" vertical="center" shrinkToFit="1"/>
      <protection locked="0"/>
    </xf>
    <xf numFmtId="0" fontId="0" fillId="0" borderId="10" xfId="0" applyNumberFormat="1" applyFill="1" applyBorder="1" applyAlignment="1" applyProtection="1">
      <alignment/>
      <protection locked="0"/>
    </xf>
    <xf numFmtId="0" fontId="6" fillId="0" borderId="0" xfId="0" applyFont="1" applyAlignment="1" applyProtection="1">
      <alignment/>
      <protection/>
    </xf>
    <xf numFmtId="0" fontId="0" fillId="37" borderId="0" xfId="0" applyFill="1" applyAlignment="1" applyProtection="1">
      <alignment/>
      <protection hidden="1"/>
    </xf>
    <xf numFmtId="0" fontId="0" fillId="37" borderId="0" xfId="0" applyFill="1" applyAlignment="1" applyProtection="1">
      <alignment horizontal="right"/>
      <protection hidden="1"/>
    </xf>
    <xf numFmtId="0" fontId="0" fillId="0" borderId="0" xfId="0" applyAlignment="1" applyProtection="1">
      <alignment/>
      <protection hidden="1"/>
    </xf>
    <xf numFmtId="31" fontId="4" fillId="37" borderId="0" xfId="0" applyNumberFormat="1" applyFont="1" applyFill="1" applyAlignment="1" applyProtection="1">
      <alignment horizontal="center"/>
      <protection hidden="1"/>
    </xf>
    <xf numFmtId="0" fontId="0" fillId="37" borderId="12" xfId="0" applyFill="1" applyBorder="1" applyAlignment="1" applyProtection="1">
      <alignment horizontal="right"/>
      <protection hidden="1"/>
    </xf>
    <xf numFmtId="0" fontId="0" fillId="37" borderId="0" xfId="0" applyFill="1" applyBorder="1" applyAlignment="1" applyProtection="1">
      <alignment/>
      <protection hidden="1"/>
    </xf>
    <xf numFmtId="0" fontId="0" fillId="37" borderId="0" xfId="0" applyFill="1" applyBorder="1" applyAlignment="1" applyProtection="1">
      <alignment horizontal="center"/>
      <protection hidden="1"/>
    </xf>
    <xf numFmtId="0" fontId="0" fillId="37" borderId="13" xfId="0" applyFill="1" applyBorder="1" applyAlignment="1" applyProtection="1">
      <alignment/>
      <protection hidden="1"/>
    </xf>
    <xf numFmtId="0" fontId="0" fillId="37" borderId="13" xfId="0" applyFill="1" applyBorder="1" applyAlignment="1" applyProtection="1">
      <alignment vertical="center"/>
      <protection hidden="1"/>
    </xf>
    <xf numFmtId="0" fontId="0" fillId="37" borderId="14" xfId="0" applyFill="1" applyBorder="1" applyAlignment="1" applyProtection="1">
      <alignment vertical="center"/>
      <protection hidden="1"/>
    </xf>
    <xf numFmtId="0" fontId="0" fillId="37" borderId="0" xfId="0" applyFill="1" applyBorder="1" applyAlignment="1" applyProtection="1">
      <alignment vertical="center"/>
      <protection hidden="1"/>
    </xf>
    <xf numFmtId="0" fontId="0" fillId="37" borderId="15" xfId="0" applyFill="1" applyBorder="1" applyAlignment="1" applyProtection="1">
      <alignment vertical="center"/>
      <protection hidden="1"/>
    </xf>
    <xf numFmtId="0" fontId="0" fillId="37" borderId="16" xfId="0" applyFill="1" applyBorder="1" applyAlignment="1" applyProtection="1">
      <alignment/>
      <protection hidden="1"/>
    </xf>
    <xf numFmtId="0" fontId="5" fillId="37" borderId="16" xfId="0" applyFont="1" applyFill="1" applyBorder="1" applyAlignment="1" applyProtection="1">
      <alignment vertical="center"/>
      <protection hidden="1"/>
    </xf>
    <xf numFmtId="0" fontId="5" fillId="37" borderId="0" xfId="0" applyFont="1" applyFill="1" applyBorder="1" applyAlignment="1" applyProtection="1">
      <alignment vertical="center"/>
      <protection hidden="1"/>
    </xf>
    <xf numFmtId="0" fontId="5" fillId="37" borderId="15" xfId="0" applyFont="1" applyFill="1" applyBorder="1" applyAlignment="1" applyProtection="1">
      <alignment vertical="center"/>
      <protection hidden="1"/>
    </xf>
    <xf numFmtId="49" fontId="5" fillId="37" borderId="16" xfId="0" applyNumberFormat="1" applyFont="1" applyFill="1" applyBorder="1" applyAlignment="1" applyProtection="1">
      <alignment horizontal="right" vertical="center"/>
      <protection hidden="1"/>
    </xf>
    <xf numFmtId="0" fontId="5" fillId="37" borderId="0" xfId="0" applyFont="1" applyFill="1" applyBorder="1" applyAlignment="1" applyProtection="1">
      <alignment horizontal="left" vertical="center"/>
      <protection hidden="1"/>
    </xf>
    <xf numFmtId="0" fontId="0" fillId="0" borderId="0" xfId="0" applyAlignment="1" applyProtection="1">
      <alignment vertical="center"/>
      <protection hidden="1"/>
    </xf>
    <xf numFmtId="0" fontId="5" fillId="37" borderId="16" xfId="0" applyFont="1" applyFill="1" applyBorder="1" applyAlignment="1" applyProtection="1">
      <alignment horizontal="right" vertical="center"/>
      <protection hidden="1"/>
    </xf>
    <xf numFmtId="49" fontId="5" fillId="37" borderId="0" xfId="0" applyNumberFormat="1" applyFont="1" applyFill="1" applyBorder="1" applyAlignment="1" applyProtection="1">
      <alignment horizontal="left" vertical="center"/>
      <protection hidden="1"/>
    </xf>
    <xf numFmtId="0" fontId="0" fillId="37" borderId="0" xfId="0" applyFill="1" applyBorder="1" applyAlignment="1" applyProtection="1">
      <alignment vertical="center" shrinkToFit="1"/>
      <protection hidden="1"/>
    </xf>
    <xf numFmtId="0" fontId="5" fillId="0" borderId="0" xfId="0" applyFont="1" applyAlignment="1" applyProtection="1">
      <alignment vertical="center"/>
      <protection hidden="1"/>
    </xf>
    <xf numFmtId="0" fontId="5" fillId="37" borderId="0" xfId="0" applyFont="1" applyFill="1" applyAlignment="1" applyProtection="1">
      <alignment horizontal="center" vertical="center"/>
      <protection hidden="1"/>
    </xf>
    <xf numFmtId="0" fontId="5" fillId="37" borderId="0" xfId="0" applyFont="1" applyFill="1" applyAlignment="1" applyProtection="1">
      <alignment vertical="center"/>
      <protection hidden="1"/>
    </xf>
    <xf numFmtId="0" fontId="0" fillId="37" borderId="0" xfId="0" applyFill="1" applyBorder="1" applyAlignment="1" applyProtection="1">
      <alignment shrinkToFit="1"/>
      <protection hidden="1"/>
    </xf>
    <xf numFmtId="0" fontId="5" fillId="37" borderId="0" xfId="0" applyFont="1" applyFill="1" applyBorder="1" applyAlignment="1" applyProtection="1">
      <alignment horizontal="center" vertical="center"/>
      <protection hidden="1"/>
    </xf>
    <xf numFmtId="49" fontId="5" fillId="37" borderId="0" xfId="0" applyNumberFormat="1" applyFont="1" applyFill="1" applyBorder="1" applyAlignment="1" applyProtection="1">
      <alignment horizontal="center" vertical="center"/>
      <protection hidden="1"/>
    </xf>
    <xf numFmtId="49" fontId="5" fillId="37" borderId="0" xfId="0" applyNumberFormat="1" applyFont="1" applyFill="1" applyBorder="1" applyAlignment="1" applyProtection="1">
      <alignment horizontal="right" vertical="center"/>
      <protection hidden="1"/>
    </xf>
    <xf numFmtId="0" fontId="5" fillId="0" borderId="0" xfId="0" applyFont="1" applyAlignment="1" applyProtection="1">
      <alignment horizontal="left" vertical="center"/>
      <protection hidden="1"/>
    </xf>
    <xf numFmtId="0" fontId="0" fillId="37" borderId="17" xfId="0" applyFill="1" applyBorder="1" applyAlignment="1" applyProtection="1">
      <alignment/>
      <protection hidden="1"/>
    </xf>
    <xf numFmtId="0" fontId="0" fillId="37" borderId="18" xfId="0" applyFill="1" applyBorder="1" applyAlignment="1" applyProtection="1">
      <alignment/>
      <protection hidden="1"/>
    </xf>
    <xf numFmtId="0" fontId="0" fillId="37" borderId="17" xfId="0" applyFill="1" applyBorder="1" applyAlignment="1" applyProtection="1">
      <alignment horizontal="right" vertical="center"/>
      <protection hidden="1"/>
    </xf>
    <xf numFmtId="0" fontId="0" fillId="37" borderId="18" xfId="0" applyFill="1" applyBorder="1" applyAlignment="1" applyProtection="1">
      <alignment vertical="center"/>
      <protection hidden="1"/>
    </xf>
    <xf numFmtId="49" fontId="0" fillId="37" borderId="18" xfId="0" applyNumberFormat="1" applyFill="1" applyBorder="1" applyAlignment="1" applyProtection="1">
      <alignment horizontal="right" vertical="center"/>
      <protection hidden="1"/>
    </xf>
    <xf numFmtId="0" fontId="0" fillId="37" borderId="19" xfId="0" applyFill="1" applyBorder="1" applyAlignment="1" applyProtection="1">
      <alignment vertical="center"/>
      <protection hidden="1"/>
    </xf>
    <xf numFmtId="49" fontId="0" fillId="37" borderId="0" xfId="0" applyNumberFormat="1" applyFill="1" applyAlignment="1" applyProtection="1">
      <alignment horizontal="right"/>
      <protection hidden="1"/>
    </xf>
    <xf numFmtId="0" fontId="0" fillId="37" borderId="0" xfId="0" applyFill="1" applyAlignment="1" applyProtection="1">
      <alignment vertical="center"/>
      <protection hidden="1"/>
    </xf>
    <xf numFmtId="0" fontId="0" fillId="37" borderId="0" xfId="0" applyFill="1" applyAlignment="1" applyProtection="1">
      <alignment horizontal="right" vertical="center"/>
      <protection hidden="1"/>
    </xf>
    <xf numFmtId="49" fontId="0" fillId="37" borderId="0" xfId="0" applyNumberFormat="1" applyFill="1" applyAlignment="1" applyProtection="1">
      <alignment horizontal="right" vertical="center"/>
      <protection hidden="1"/>
    </xf>
    <xf numFmtId="0" fontId="5" fillId="37" borderId="0" xfId="0" applyFont="1" applyFill="1" applyAlignment="1" applyProtection="1">
      <alignment horizontal="right" vertical="center"/>
      <protection hidden="1"/>
    </xf>
    <xf numFmtId="49" fontId="5" fillId="37" borderId="0" xfId="0" applyNumberFormat="1" applyFont="1" applyFill="1" applyAlignment="1" applyProtection="1">
      <alignment horizontal="right" vertical="center"/>
      <protection hidden="1"/>
    </xf>
    <xf numFmtId="0" fontId="5" fillId="37" borderId="0" xfId="0" applyFont="1" applyFill="1" applyAlignment="1" applyProtection="1">
      <alignment horizontal="distributed" vertical="center"/>
      <protection hidden="1"/>
    </xf>
    <xf numFmtId="0" fontId="5" fillId="37" borderId="0" xfId="0" applyNumberFormat="1" applyFont="1" applyFill="1" applyBorder="1" applyAlignment="1" applyProtection="1">
      <alignment horizontal="left" vertical="center"/>
      <protection hidden="1"/>
    </xf>
    <xf numFmtId="0" fontId="5" fillId="37" borderId="0" xfId="0" applyFont="1" applyFill="1" applyAlignment="1" applyProtection="1">
      <alignment horizontal="left" vertical="center"/>
      <protection hidden="1"/>
    </xf>
    <xf numFmtId="177" fontId="5" fillId="37" borderId="0" xfId="0" applyNumberFormat="1" applyFont="1" applyFill="1" applyBorder="1" applyAlignment="1" applyProtection="1">
      <alignment horizontal="center" vertical="center"/>
      <protection hidden="1"/>
    </xf>
    <xf numFmtId="0" fontId="5" fillId="37" borderId="12" xfId="0" applyFont="1" applyFill="1" applyBorder="1" applyAlignment="1" applyProtection="1">
      <alignment horizontal="center" vertical="center"/>
      <protection hidden="1"/>
    </xf>
    <xf numFmtId="0" fontId="5" fillId="37" borderId="12" xfId="0" applyFont="1" applyFill="1" applyBorder="1" applyAlignment="1" applyProtection="1">
      <alignment vertical="center"/>
      <protection hidden="1"/>
    </xf>
    <xf numFmtId="49" fontId="5" fillId="37" borderId="12" xfId="0" applyNumberFormat="1" applyFont="1" applyFill="1" applyBorder="1" applyAlignment="1" applyProtection="1">
      <alignment vertical="center"/>
      <protection hidden="1"/>
    </xf>
    <xf numFmtId="49" fontId="5" fillId="37" borderId="0" xfId="0" applyNumberFormat="1" applyFont="1" applyFill="1" applyAlignment="1" applyProtection="1">
      <alignment vertical="center"/>
      <protection hidden="1"/>
    </xf>
    <xf numFmtId="0" fontId="5" fillId="37" borderId="0" xfId="0" applyFont="1" applyFill="1" applyAlignment="1" applyProtection="1">
      <alignment/>
      <protection hidden="1"/>
    </xf>
    <xf numFmtId="0" fontId="5" fillId="37" borderId="0" xfId="0" applyFont="1" applyFill="1" applyAlignment="1" applyProtection="1">
      <alignment horizontal="left"/>
      <protection hidden="1"/>
    </xf>
    <xf numFmtId="0" fontId="5" fillId="37" borderId="0" xfId="0" applyFont="1" applyFill="1" applyAlignment="1" applyProtection="1">
      <alignment/>
      <protection hidden="1"/>
    </xf>
    <xf numFmtId="0" fontId="0" fillId="37" borderId="15" xfId="0" applyFill="1" applyBorder="1" applyAlignment="1" applyProtection="1">
      <alignment horizontal="center" vertical="center"/>
      <protection hidden="1"/>
    </xf>
    <xf numFmtId="0" fontId="5" fillId="37" borderId="20" xfId="0" applyFont="1" applyFill="1" applyBorder="1" applyAlignment="1" applyProtection="1">
      <alignment horizontal="center" vertical="center"/>
      <protection hidden="1"/>
    </xf>
    <xf numFmtId="0" fontId="5" fillId="37" borderId="16" xfId="0" applyFont="1" applyFill="1" applyBorder="1" applyAlignment="1" applyProtection="1">
      <alignment horizontal="center" vertical="center"/>
      <protection hidden="1"/>
    </xf>
    <xf numFmtId="0" fontId="0" fillId="36" borderId="10" xfId="0" applyFill="1" applyBorder="1" applyAlignment="1" applyProtection="1">
      <alignment horizontal="center" vertical="center" shrinkToFit="1"/>
      <protection locked="0"/>
    </xf>
    <xf numFmtId="0" fontId="5" fillId="37" borderId="21" xfId="0" applyFont="1" applyFill="1" applyBorder="1" applyAlignment="1" applyProtection="1">
      <alignment horizontal="center" vertical="center"/>
      <protection hidden="1" locked="0"/>
    </xf>
    <xf numFmtId="0" fontId="5" fillId="37" borderId="0" xfId="0" applyFont="1" applyFill="1" applyBorder="1" applyAlignment="1" applyProtection="1">
      <alignment vertical="center"/>
      <protection/>
    </xf>
    <xf numFmtId="0" fontId="4" fillId="38" borderId="10" xfId="0" applyFont="1" applyFill="1" applyBorder="1" applyAlignment="1">
      <alignment horizontal="left" vertical="center" shrinkToFit="1"/>
    </xf>
    <xf numFmtId="3" fontId="4" fillId="38" borderId="10" xfId="0" applyNumberFormat="1" applyFont="1" applyFill="1" applyBorder="1" applyAlignment="1" applyProtection="1">
      <alignment horizontal="right" vertical="center"/>
      <protection/>
    </xf>
    <xf numFmtId="187" fontId="0" fillId="0" borderId="0" xfId="0" applyNumberFormat="1" applyAlignment="1">
      <alignment/>
    </xf>
    <xf numFmtId="0" fontId="4" fillId="0" borderId="10" xfId="0" applyFont="1" applyFill="1" applyBorder="1" applyAlignment="1">
      <alignment horizontal="left" vertical="center" shrinkToFit="1"/>
    </xf>
    <xf numFmtId="0" fontId="4" fillId="0" borderId="0" xfId="0" applyFont="1" applyFill="1" applyAlignment="1">
      <alignment/>
    </xf>
    <xf numFmtId="3" fontId="4" fillId="0" borderId="10" xfId="0" applyNumberFormat="1" applyFont="1" applyFill="1" applyBorder="1" applyAlignment="1" applyProtection="1">
      <alignment horizontal="right" vertical="center"/>
      <protection/>
    </xf>
    <xf numFmtId="14" fontId="0" fillId="0" borderId="0" xfId="0" applyNumberFormat="1" applyAlignment="1">
      <alignment/>
    </xf>
    <xf numFmtId="3" fontId="4" fillId="39" borderId="10" xfId="0" applyNumberFormat="1" applyFont="1" applyFill="1" applyBorder="1" applyAlignment="1" applyProtection="1">
      <alignment horizontal="right" vertical="center"/>
      <protection/>
    </xf>
    <xf numFmtId="0" fontId="4" fillId="39" borderId="10" xfId="0" applyFont="1" applyFill="1" applyBorder="1" applyAlignment="1">
      <alignment horizontal="left" vertical="center" shrinkToFit="1"/>
    </xf>
    <xf numFmtId="0" fontId="4" fillId="39" borderId="0" xfId="0" applyFont="1" applyFill="1" applyAlignment="1">
      <alignment/>
    </xf>
    <xf numFmtId="186" fontId="5" fillId="37" borderId="0" xfId="0" applyNumberFormat="1" applyFont="1" applyFill="1" applyBorder="1" applyAlignment="1" applyProtection="1">
      <alignment horizontal="center" vertical="center"/>
      <protection hidden="1"/>
    </xf>
    <xf numFmtId="3" fontId="4" fillId="39" borderId="10" xfId="0" applyNumberFormat="1" applyFont="1" applyFill="1" applyBorder="1" applyAlignment="1">
      <alignment horizontal="right" vertical="center"/>
    </xf>
    <xf numFmtId="0" fontId="4" fillId="0" borderId="0" xfId="0" applyFont="1" applyAlignment="1">
      <alignment vertical="center"/>
    </xf>
    <xf numFmtId="3" fontId="4" fillId="0" borderId="10" xfId="0" applyNumberFormat="1" applyFont="1" applyBorder="1" applyAlignment="1">
      <alignment horizontal="right" vertical="center"/>
    </xf>
    <xf numFmtId="0" fontId="4" fillId="0" borderId="0" xfId="0" applyFont="1" applyFill="1" applyBorder="1" applyAlignment="1">
      <alignment vertical="center" shrinkToFit="1"/>
    </xf>
    <xf numFmtId="0" fontId="0" fillId="0" borderId="0" xfId="0" applyFont="1" applyAlignment="1">
      <alignment/>
    </xf>
    <xf numFmtId="0" fontId="0" fillId="0" borderId="0" xfId="0" applyFont="1" applyFill="1" applyAlignment="1">
      <alignment/>
    </xf>
    <xf numFmtId="0" fontId="4" fillId="0" borderId="0" xfId="0" applyFont="1" applyAlignment="1">
      <alignment horizontal="center" vertical="center"/>
    </xf>
    <xf numFmtId="0" fontId="4" fillId="0" borderId="0" xfId="0" applyFont="1" applyBorder="1" applyAlignment="1" applyProtection="1">
      <alignment horizontal="center" vertical="center"/>
      <protection/>
    </xf>
    <xf numFmtId="0" fontId="0" fillId="0" borderId="22" xfId="0" applyBorder="1" applyAlignment="1" applyProtection="1">
      <alignment horizontal="center" vertical="center"/>
      <protection hidden="1"/>
    </xf>
    <xf numFmtId="0" fontId="0" fillId="0" borderId="21" xfId="0"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5" fillId="34" borderId="22" xfId="0" applyFont="1" applyFill="1" applyBorder="1" applyAlignment="1" applyProtection="1">
      <alignment horizontal="center" vertical="center" shrinkToFit="1"/>
      <protection hidden="1" locked="0"/>
    </xf>
    <xf numFmtId="0" fontId="5" fillId="34" borderId="21" xfId="0" applyFont="1" applyFill="1" applyBorder="1" applyAlignment="1" applyProtection="1">
      <alignment horizontal="center" vertical="center" shrinkToFit="1"/>
      <protection hidden="1" locked="0"/>
    </xf>
    <xf numFmtId="0" fontId="5" fillId="34" borderId="23" xfId="0" applyFont="1" applyFill="1" applyBorder="1" applyAlignment="1" applyProtection="1">
      <alignment horizontal="center" vertical="center" shrinkToFit="1"/>
      <protection hidden="1" locked="0"/>
    </xf>
    <xf numFmtId="182" fontId="5" fillId="37" borderId="0" xfId="0" applyNumberFormat="1" applyFont="1" applyFill="1" applyBorder="1" applyAlignment="1" applyProtection="1">
      <alignment horizontal="center" vertical="center"/>
      <protection hidden="1"/>
    </xf>
    <xf numFmtId="0" fontId="5" fillId="37" borderId="0" xfId="0" applyNumberFormat="1" applyFont="1" applyFill="1" applyBorder="1" applyAlignment="1" applyProtection="1">
      <alignment horizontal="left" vertical="center" shrinkToFit="1"/>
      <protection hidden="1"/>
    </xf>
    <xf numFmtId="0" fontId="5" fillId="34" borderId="22" xfId="0" applyFont="1" applyFill="1" applyBorder="1" applyAlignment="1" applyProtection="1">
      <alignment horizontal="center" vertical="center" shrinkToFit="1"/>
      <protection hidden="1"/>
    </xf>
    <xf numFmtId="0" fontId="5" fillId="34" borderId="21" xfId="0" applyFont="1" applyFill="1" applyBorder="1" applyAlignment="1" applyProtection="1">
      <alignment horizontal="center" vertical="center" shrinkToFit="1"/>
      <protection hidden="1"/>
    </xf>
    <xf numFmtId="0" fontId="5" fillId="34" borderId="23" xfId="0" applyFont="1" applyFill="1" applyBorder="1" applyAlignment="1" applyProtection="1">
      <alignment horizontal="center" vertical="center" shrinkToFit="1"/>
      <protection hidden="1"/>
    </xf>
    <xf numFmtId="0" fontId="5" fillId="0" borderId="22" xfId="0" applyFont="1" applyFill="1" applyBorder="1" applyAlignment="1" applyProtection="1">
      <alignment horizontal="center" vertical="center" shrinkToFit="1"/>
      <protection hidden="1"/>
    </xf>
    <xf numFmtId="0" fontId="5" fillId="0" borderId="21" xfId="0" applyFont="1" applyFill="1" applyBorder="1" applyAlignment="1" applyProtection="1">
      <alignment horizontal="center" vertical="center" shrinkToFit="1"/>
      <protection hidden="1"/>
    </xf>
    <xf numFmtId="0" fontId="5" fillId="0" borderId="23" xfId="0" applyFont="1" applyFill="1" applyBorder="1" applyAlignment="1" applyProtection="1">
      <alignment horizontal="center" vertical="center" shrinkToFit="1"/>
      <protection hidden="1"/>
    </xf>
    <xf numFmtId="0" fontId="6" fillId="34" borderId="22" xfId="0" applyFont="1" applyFill="1" applyBorder="1" applyAlignment="1" applyProtection="1">
      <alignment horizontal="center" vertical="center" shrinkToFit="1"/>
      <protection hidden="1"/>
    </xf>
    <xf numFmtId="0" fontId="6" fillId="34" borderId="21" xfId="0" applyFont="1" applyFill="1" applyBorder="1" applyAlignment="1" applyProtection="1">
      <alignment horizontal="center" vertical="center" shrinkToFit="1"/>
      <protection hidden="1"/>
    </xf>
    <xf numFmtId="0" fontId="6" fillId="34" borderId="23" xfId="0" applyFont="1" applyFill="1" applyBorder="1" applyAlignment="1" applyProtection="1">
      <alignment horizontal="center" vertical="center" shrinkToFit="1"/>
      <protection hidden="1"/>
    </xf>
    <xf numFmtId="0" fontId="5" fillId="37" borderId="0" xfId="0" applyFont="1" applyFill="1" applyAlignment="1" applyProtection="1">
      <alignment vertical="center"/>
      <protection hidden="1"/>
    </xf>
    <xf numFmtId="0" fontId="5" fillId="37" borderId="0" xfId="0" applyFont="1" applyFill="1" applyBorder="1" applyAlignment="1" applyProtection="1">
      <alignment vertical="center"/>
      <protection hidden="1"/>
    </xf>
    <xf numFmtId="0" fontId="5" fillId="37" borderId="24" xfId="0" applyFont="1" applyFill="1" applyBorder="1" applyAlignment="1" applyProtection="1">
      <alignment horizontal="center" vertical="center" shrinkToFit="1"/>
      <protection hidden="1"/>
    </xf>
    <xf numFmtId="0" fontId="5" fillId="37" borderId="16" xfId="0" applyFont="1" applyFill="1" applyBorder="1" applyAlignment="1" applyProtection="1">
      <alignment horizontal="center" vertical="center" shrinkToFit="1"/>
      <protection hidden="1"/>
    </xf>
    <xf numFmtId="3" fontId="5" fillId="37" borderId="24" xfId="0" applyNumberFormat="1" applyFont="1" applyFill="1" applyBorder="1" applyAlignment="1" applyProtection="1">
      <alignment horizontal="right" vertical="center" shrinkToFit="1"/>
      <protection hidden="1"/>
    </xf>
    <xf numFmtId="3" fontId="5" fillId="37" borderId="16" xfId="0" applyNumberFormat="1" applyFont="1" applyFill="1" applyBorder="1" applyAlignment="1" applyProtection="1">
      <alignment horizontal="right" vertical="center" shrinkToFit="1"/>
      <protection hidden="1"/>
    </xf>
    <xf numFmtId="0" fontId="5" fillId="34" borderId="20" xfId="0" applyFont="1" applyFill="1" applyBorder="1" applyAlignment="1" applyProtection="1">
      <alignment horizontal="right" vertical="center" shrinkToFit="1"/>
      <protection hidden="1"/>
    </xf>
    <xf numFmtId="0" fontId="5" fillId="37" borderId="11" xfId="0" applyFont="1" applyFill="1" applyBorder="1" applyAlignment="1" applyProtection="1">
      <alignment horizontal="center" vertical="center"/>
      <protection hidden="1"/>
    </xf>
    <xf numFmtId="0" fontId="5" fillId="37" borderId="24" xfId="0" applyFont="1" applyFill="1" applyBorder="1" applyAlignment="1" applyProtection="1">
      <alignment horizontal="left" vertical="center" shrinkToFit="1"/>
      <protection locked="0"/>
    </xf>
    <xf numFmtId="0" fontId="5" fillId="37" borderId="20" xfId="0" applyFont="1" applyFill="1" applyBorder="1" applyAlignment="1" applyProtection="1">
      <alignment horizontal="left" vertical="center" shrinkToFit="1"/>
      <protection locked="0"/>
    </xf>
    <xf numFmtId="0" fontId="5" fillId="37" borderId="25" xfId="0" applyFont="1" applyFill="1" applyBorder="1" applyAlignment="1" applyProtection="1">
      <alignment horizontal="left" vertical="center" shrinkToFit="1"/>
      <protection locked="0"/>
    </xf>
    <xf numFmtId="0" fontId="5" fillId="37" borderId="22" xfId="0" applyFont="1" applyFill="1" applyBorder="1" applyAlignment="1" applyProtection="1">
      <alignment horizontal="left" vertical="center"/>
      <protection hidden="1"/>
    </xf>
    <xf numFmtId="0" fontId="5" fillId="37" borderId="21" xfId="0" applyFont="1" applyFill="1" applyBorder="1" applyAlignment="1" applyProtection="1">
      <alignment horizontal="left" vertical="center"/>
      <protection hidden="1"/>
    </xf>
    <xf numFmtId="0" fontId="5" fillId="37" borderId="21" xfId="0" applyFont="1" applyFill="1" applyBorder="1" applyAlignment="1" applyProtection="1">
      <alignment horizontal="left" vertical="center" shrinkToFit="1"/>
      <protection hidden="1"/>
    </xf>
    <xf numFmtId="0" fontId="5" fillId="37" borderId="23" xfId="0" applyFont="1" applyFill="1" applyBorder="1" applyAlignment="1" applyProtection="1">
      <alignment horizontal="left" vertical="center" shrinkToFit="1"/>
      <protection hidden="1"/>
    </xf>
    <xf numFmtId="0" fontId="5" fillId="37" borderId="0" xfId="0" applyFont="1" applyFill="1" applyBorder="1" applyAlignment="1" applyProtection="1">
      <alignment horizontal="left" vertical="center" shrinkToFit="1"/>
      <protection hidden="1"/>
    </xf>
    <xf numFmtId="0" fontId="5" fillId="37" borderId="0" xfId="0" applyFont="1" applyFill="1" applyAlignment="1" applyProtection="1">
      <alignment horizontal="left" vertical="center" shrinkToFit="1"/>
      <protection hidden="1"/>
    </xf>
    <xf numFmtId="0" fontId="5" fillId="37" borderId="0" xfId="0" applyFont="1" applyFill="1" applyAlignment="1" applyProtection="1">
      <alignment horizontal="distributed" vertical="center"/>
      <protection hidden="1"/>
    </xf>
    <xf numFmtId="0" fontId="5" fillId="37" borderId="0" xfId="0" applyFont="1" applyFill="1" applyBorder="1" applyAlignment="1" applyProtection="1">
      <alignment horizontal="center" vertical="center"/>
      <protection hidden="1"/>
    </xf>
    <xf numFmtId="0" fontId="5" fillId="37" borderId="0" xfId="0" applyFont="1" applyFill="1" applyBorder="1" applyAlignment="1" applyProtection="1">
      <alignment horizontal="left" vertical="center"/>
      <protection hidden="1"/>
    </xf>
    <xf numFmtId="0" fontId="5" fillId="37" borderId="26" xfId="0" applyFont="1" applyFill="1" applyBorder="1" applyAlignment="1" applyProtection="1">
      <alignment horizontal="left" vertical="center" shrinkToFit="1"/>
      <protection hidden="1"/>
    </xf>
    <xf numFmtId="0" fontId="5" fillId="37" borderId="27" xfId="0" applyFont="1" applyFill="1" applyBorder="1" applyAlignment="1" applyProtection="1">
      <alignment horizontal="left" vertical="center" shrinkToFit="1"/>
      <protection hidden="1"/>
    </xf>
    <xf numFmtId="0" fontId="5" fillId="37" borderId="28" xfId="0" applyFont="1" applyFill="1" applyBorder="1" applyAlignment="1" applyProtection="1">
      <alignment horizontal="center" vertical="center"/>
      <protection hidden="1"/>
    </xf>
    <xf numFmtId="49" fontId="5" fillId="37" borderId="0" xfId="0" applyNumberFormat="1" applyFont="1" applyFill="1" applyBorder="1" applyAlignment="1" applyProtection="1">
      <alignment horizontal="center" vertical="center"/>
      <protection hidden="1"/>
    </xf>
    <xf numFmtId="49" fontId="5" fillId="37" borderId="15" xfId="0" applyNumberFormat="1" applyFont="1" applyFill="1" applyBorder="1" applyAlignment="1" applyProtection="1">
      <alignment horizontal="center" vertical="center"/>
      <protection hidden="1"/>
    </xf>
    <xf numFmtId="49" fontId="5" fillId="37" borderId="0" xfId="0" applyNumberFormat="1" applyFont="1" applyFill="1" applyBorder="1" applyAlignment="1" applyProtection="1">
      <alignment horizontal="left" vertical="center"/>
      <protection hidden="1"/>
    </xf>
    <xf numFmtId="49" fontId="5" fillId="37" borderId="15" xfId="0" applyNumberFormat="1" applyFont="1" applyFill="1" applyBorder="1" applyAlignment="1" applyProtection="1">
      <alignment horizontal="left" vertical="center"/>
      <protection hidden="1"/>
    </xf>
    <xf numFmtId="0" fontId="0" fillId="36" borderId="12" xfId="0" applyFill="1" applyBorder="1" applyAlignment="1" applyProtection="1">
      <alignment horizontal="center" shrinkToFit="1"/>
      <protection locked="0"/>
    </xf>
    <xf numFmtId="0" fontId="0" fillId="37" borderId="0" xfId="0" applyFill="1" applyAlignment="1" applyProtection="1">
      <alignment horizontal="center"/>
      <protection hidden="1"/>
    </xf>
    <xf numFmtId="14" fontId="0" fillId="37" borderId="12" xfId="0" applyNumberFormat="1" applyFill="1" applyBorder="1" applyAlignment="1" applyProtection="1">
      <alignment horizontal="right"/>
      <protection hidden="1"/>
    </xf>
    <xf numFmtId="0" fontId="0" fillId="37" borderId="12" xfId="0" applyFill="1" applyBorder="1" applyAlignment="1" applyProtection="1">
      <alignment horizontal="right"/>
      <protection hidden="1"/>
    </xf>
    <xf numFmtId="0" fontId="0" fillId="37" borderId="0" xfId="0" applyFill="1" applyAlignment="1" applyProtection="1">
      <alignment/>
      <protection hidden="1"/>
    </xf>
    <xf numFmtId="177" fontId="5" fillId="37" borderId="12" xfId="0" applyNumberFormat="1" applyFont="1" applyFill="1" applyBorder="1" applyAlignment="1" applyProtection="1">
      <alignment horizontal="center" vertical="center"/>
      <protection hidden="1"/>
    </xf>
    <xf numFmtId="177" fontId="5" fillId="37" borderId="0" xfId="0" applyNumberFormat="1" applyFont="1" applyFill="1" applyBorder="1" applyAlignment="1" applyProtection="1">
      <alignment horizontal="center" vertical="center"/>
      <protection hidden="1"/>
    </xf>
    <xf numFmtId="0" fontId="5" fillId="37" borderId="29" xfId="0" applyFont="1" applyFill="1" applyBorder="1" applyAlignment="1" applyProtection="1">
      <alignment horizontal="center" vertical="center"/>
      <protection hidden="1"/>
    </xf>
    <xf numFmtId="0" fontId="5" fillId="37" borderId="0" xfId="0" applyFont="1" applyFill="1" applyAlignment="1" applyProtection="1">
      <alignment horizontal="center" vertical="center"/>
      <protection hidden="1"/>
    </xf>
    <xf numFmtId="0" fontId="5" fillId="37" borderId="0" xfId="0" applyFont="1" applyFill="1" applyAlignment="1" applyProtection="1">
      <alignment horizontal="distributed" vertical="center" shrinkToFit="1"/>
      <protection hidden="1"/>
    </xf>
    <xf numFmtId="0" fontId="6" fillId="37" borderId="16" xfId="0" applyFont="1" applyFill="1" applyBorder="1" applyAlignment="1" applyProtection="1">
      <alignment horizontal="center" shrinkToFit="1"/>
      <protection hidden="1"/>
    </xf>
    <xf numFmtId="0" fontId="6" fillId="37" borderId="0" xfId="0" applyFont="1" applyFill="1" applyBorder="1" applyAlignment="1" applyProtection="1">
      <alignment horizontal="center" shrinkToFit="1"/>
      <protection hidden="1"/>
    </xf>
    <xf numFmtId="0" fontId="6" fillId="37" borderId="15" xfId="0" applyFont="1" applyFill="1" applyBorder="1" applyAlignment="1" applyProtection="1">
      <alignment horizontal="center" shrinkToFit="1"/>
      <protection hidden="1"/>
    </xf>
    <xf numFmtId="0" fontId="2" fillId="37" borderId="0" xfId="0" applyFont="1" applyFill="1" applyAlignment="1" applyProtection="1">
      <alignment horizontal="left" vertical="center"/>
      <protection hidden="1"/>
    </xf>
    <xf numFmtId="49" fontId="5" fillId="37" borderId="0" xfId="0" applyNumberFormat="1" applyFont="1" applyFill="1" applyAlignment="1" applyProtection="1">
      <alignment horizontal="right" vertical="center"/>
      <protection hidden="1"/>
    </xf>
    <xf numFmtId="0" fontId="5" fillId="37" borderId="0" xfId="0" applyFont="1" applyFill="1" applyAlignment="1" applyProtection="1">
      <alignment horizontal="left" vertical="center"/>
      <protection hidden="1"/>
    </xf>
    <xf numFmtId="31" fontId="0" fillId="37" borderId="0" xfId="0" applyNumberFormat="1" applyFill="1" applyAlignment="1" applyProtection="1">
      <alignment horizontal="right"/>
      <protection hidden="1"/>
    </xf>
    <xf numFmtId="0" fontId="0" fillId="37" borderId="0" xfId="0" applyFill="1" applyAlignment="1" applyProtection="1">
      <alignment horizontal="right"/>
      <protection hidden="1"/>
    </xf>
    <xf numFmtId="0" fontId="0" fillId="37" borderId="0" xfId="0" applyFill="1" applyBorder="1" applyAlignment="1" applyProtection="1">
      <alignment horizontal="center" vertical="center"/>
      <protection hidden="1"/>
    </xf>
    <xf numFmtId="0" fontId="0" fillId="37" borderId="30" xfId="0" applyFill="1" applyBorder="1" applyAlignment="1" applyProtection="1">
      <alignment horizontal="left" vertical="center"/>
      <protection hidden="1"/>
    </xf>
    <xf numFmtId="0" fontId="0" fillId="37" borderId="13" xfId="0" applyFill="1" applyBorder="1" applyAlignment="1" applyProtection="1">
      <alignment horizontal="left" vertical="center"/>
      <protection hidden="1"/>
    </xf>
    <xf numFmtId="0" fontId="0" fillId="37" borderId="14" xfId="0" applyFill="1" applyBorder="1" applyAlignment="1" applyProtection="1">
      <alignment horizontal="left" vertical="center"/>
      <protection hidden="1"/>
    </xf>
    <xf numFmtId="0" fontId="0" fillId="37" borderId="17" xfId="0" applyFill="1" applyBorder="1" applyAlignment="1" applyProtection="1">
      <alignment horizontal="left" vertical="center"/>
      <protection hidden="1"/>
    </xf>
    <xf numFmtId="0" fontId="0" fillId="37" borderId="18" xfId="0" applyFill="1" applyBorder="1" applyAlignment="1" applyProtection="1">
      <alignment horizontal="left" vertical="center"/>
      <protection hidden="1"/>
    </xf>
    <xf numFmtId="0" fontId="0" fillId="37" borderId="19" xfId="0" applyFill="1" applyBorder="1" applyAlignment="1" applyProtection="1">
      <alignment horizontal="left" vertical="center"/>
      <protection hidden="1"/>
    </xf>
    <xf numFmtId="0" fontId="9" fillId="37" borderId="22" xfId="0" applyFont="1" applyFill="1" applyBorder="1" applyAlignment="1" applyProtection="1">
      <alignment horizontal="center" vertical="center"/>
      <protection hidden="1"/>
    </xf>
    <xf numFmtId="0" fontId="9" fillId="37" borderId="21" xfId="0" applyFont="1" applyFill="1" applyBorder="1" applyAlignment="1" applyProtection="1">
      <alignment horizontal="center" vertical="center"/>
      <protection hidden="1"/>
    </xf>
    <xf numFmtId="0" fontId="9" fillId="37" borderId="23" xfId="0" applyFont="1" applyFill="1" applyBorder="1" applyAlignment="1" applyProtection="1">
      <alignment horizontal="center" vertical="center"/>
      <protection hidden="1"/>
    </xf>
    <xf numFmtId="0" fontId="0" fillId="37" borderId="12" xfId="0" applyFill="1" applyBorder="1" applyAlignment="1" applyProtection="1">
      <alignment horizontal="center"/>
      <protection hidden="1"/>
    </xf>
    <xf numFmtId="0" fontId="12" fillId="40" borderId="0" xfId="0" applyFont="1" applyFill="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6.png" /><Relationship Id="rId4" Type="http://schemas.openxmlformats.org/officeDocument/2006/relationships/image" Target="../media/image10.png" /><Relationship Id="rId5" Type="http://schemas.openxmlformats.org/officeDocument/2006/relationships/image" Target="../media/image11.png" /></Relationships>
</file>

<file path=xl/drawings/_rels/drawing2.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1.emf" /><Relationship Id="rId3" Type="http://schemas.openxmlformats.org/officeDocument/2006/relationships/image" Target="../media/image8.emf" /><Relationship Id="rId4" Type="http://schemas.openxmlformats.org/officeDocument/2006/relationships/image" Target="../media/image3.emf" /><Relationship Id="rId5" Type="http://schemas.openxmlformats.org/officeDocument/2006/relationships/image" Target="../media/image12.png" /><Relationship Id="rId6" Type="http://schemas.openxmlformats.org/officeDocument/2006/relationships/image" Target="../media/image13.png" /><Relationship Id="rId7" Type="http://schemas.openxmlformats.org/officeDocument/2006/relationships/image" Target="../media/image14.png" /><Relationship Id="rId8" Type="http://schemas.openxmlformats.org/officeDocument/2006/relationships/image" Target="../media/image1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638175</xdr:colOff>
      <xdr:row>8</xdr:row>
      <xdr:rowOff>66675</xdr:rowOff>
    </xdr:from>
    <xdr:to>
      <xdr:col>8</xdr:col>
      <xdr:colOff>104775</xdr:colOff>
      <xdr:row>10</xdr:row>
      <xdr:rowOff>66675</xdr:rowOff>
    </xdr:to>
    <xdr:pic>
      <xdr:nvPicPr>
        <xdr:cNvPr id="1" name="ComboBox_SystemType"/>
        <xdr:cNvPicPr preferRelativeResize="1">
          <a:picLocks noChangeAspect="1"/>
        </xdr:cNvPicPr>
      </xdr:nvPicPr>
      <xdr:blipFill>
        <a:blip r:embed="rId1"/>
        <a:stretch>
          <a:fillRect/>
        </a:stretch>
      </xdr:blipFill>
      <xdr:spPr>
        <a:xfrm>
          <a:off x="2705100" y="1524000"/>
          <a:ext cx="981075" cy="238125"/>
        </a:xfrm>
        <a:prstGeom prst="rect">
          <a:avLst/>
        </a:prstGeom>
        <a:blipFill>
          <a:blip r:embed="rId4"/>
          <a:srcRect/>
          <a:stretch>
            <a:fillRect/>
          </a:stretch>
        </a:blipFill>
        <a:ln w="9525" cmpd="sng">
          <a:noFill/>
        </a:ln>
      </xdr:spPr>
    </xdr:pic>
    <xdr:clientData/>
  </xdr:twoCellAnchor>
  <xdr:twoCellAnchor editAs="oneCell">
    <xdr:from>
      <xdr:col>1</xdr:col>
      <xdr:colOff>28575</xdr:colOff>
      <xdr:row>12</xdr:row>
      <xdr:rowOff>9525</xdr:rowOff>
    </xdr:from>
    <xdr:to>
      <xdr:col>9</xdr:col>
      <xdr:colOff>47625</xdr:colOff>
      <xdr:row>34</xdr:row>
      <xdr:rowOff>9525</xdr:rowOff>
    </xdr:to>
    <xdr:pic>
      <xdr:nvPicPr>
        <xdr:cNvPr id="2" name="Sys_Image"/>
        <xdr:cNvPicPr preferRelativeResize="1">
          <a:picLocks noChangeAspect="1"/>
        </xdr:cNvPicPr>
      </xdr:nvPicPr>
      <xdr:blipFill>
        <a:blip r:embed="rId2"/>
        <a:stretch>
          <a:fillRect/>
        </a:stretch>
      </xdr:blipFill>
      <xdr:spPr>
        <a:xfrm>
          <a:off x="381000" y="2057400"/>
          <a:ext cx="3448050" cy="3448050"/>
        </a:xfrm>
        <a:prstGeom prst="rect">
          <a:avLst/>
        </a:prstGeom>
        <a:blipFill>
          <a:blip r:embed="rId5"/>
          <a:srcRect/>
          <a:stretch>
            <a:fillRect/>
          </a:stretch>
        </a:blipFill>
        <a:ln w="9525" cmpd="sng">
          <a:noFill/>
        </a:ln>
      </xdr:spPr>
    </xdr:pic>
    <xdr:clientData/>
  </xdr:twoCellAnchor>
  <xdr:twoCellAnchor>
    <xdr:from>
      <xdr:col>18</xdr:col>
      <xdr:colOff>200025</xdr:colOff>
      <xdr:row>8</xdr:row>
      <xdr:rowOff>9525</xdr:rowOff>
    </xdr:from>
    <xdr:to>
      <xdr:col>26</xdr:col>
      <xdr:colOff>561975</xdr:colOff>
      <xdr:row>27</xdr:row>
      <xdr:rowOff>47625</xdr:rowOff>
    </xdr:to>
    <xdr:sp>
      <xdr:nvSpPr>
        <xdr:cNvPr id="3" name="Text Box 366"/>
        <xdr:cNvSpPr txBox="1">
          <a:spLocks noChangeArrowheads="1"/>
        </xdr:cNvSpPr>
      </xdr:nvSpPr>
      <xdr:spPr>
        <a:xfrm>
          <a:off x="7734300" y="1466850"/>
          <a:ext cx="5848350" cy="287655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使用方法</a:t>
          </a:r>
          <a:r>
            <a:rPr lang="en-US" cap="none" sz="1400" b="1"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空調用、給湯用をプルダウンより選択してください。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2.</a:t>
          </a:r>
          <a:r>
            <a:rPr lang="en-US" cap="none" sz="1200" b="0" i="0" u="none" baseline="0">
              <a:solidFill>
                <a:srgbClr val="000000"/>
              </a:solidFill>
              <a:latin typeface="ＭＳ Ｐゴシック"/>
              <a:ea typeface="ＭＳ Ｐゴシック"/>
              <a:cs typeface="ＭＳ Ｐゴシック"/>
            </a:rPr>
            <a:t>システムをプルダウンより選択してください。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3.</a:t>
          </a:r>
          <a:r>
            <a:rPr lang="en-US" cap="none" sz="1200" b="0" i="0" u="none" baseline="0">
              <a:solidFill>
                <a:srgbClr val="000000"/>
              </a:solidFill>
              <a:latin typeface="ＭＳ Ｐゴシック"/>
              <a:ea typeface="ＭＳ Ｐゴシック"/>
              <a:cs typeface="ＭＳ Ｐゴシック"/>
            </a:rPr>
            <a:t>本体材質をプルダウンより選択してください。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4.</a:t>
          </a:r>
          <a:r>
            <a:rPr lang="en-US" cap="none" sz="1200" b="0" i="0" u="none" baseline="0">
              <a:solidFill>
                <a:srgbClr val="000000"/>
              </a:solidFill>
              <a:latin typeface="ＭＳ Ｐゴシック"/>
              <a:ea typeface="ＭＳ Ｐゴシック"/>
              <a:cs typeface="ＭＳ Ｐゴシック"/>
            </a:rPr>
            <a:t>システム全水量を入力し、水又は不凍液</a:t>
          </a:r>
          <a:r>
            <a:rPr lang="en-US" cap="none" sz="1200" b="0" i="0" u="none" baseline="0">
              <a:solidFill>
                <a:srgbClr val="000000"/>
              </a:solidFill>
              <a:latin typeface="ＭＳ Ｐゴシック"/>
              <a:ea typeface="ＭＳ Ｐゴシック"/>
              <a:cs typeface="ＭＳ Ｐゴシック"/>
            </a:rPr>
            <a:t>50%</a:t>
          </a:r>
          <a:r>
            <a:rPr lang="en-US" cap="none" sz="1200" b="0" i="0" u="none" baseline="0">
              <a:solidFill>
                <a:srgbClr val="000000"/>
              </a:solidFill>
              <a:latin typeface="ＭＳ Ｐゴシック"/>
              <a:ea typeface="ＭＳ Ｐゴシック"/>
              <a:cs typeface="ＭＳ Ｐゴシック"/>
            </a:rPr>
            <a:t>をプルダウンより選択してください。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5.</a:t>
          </a:r>
          <a:r>
            <a:rPr lang="en-US" cap="none" sz="1200" b="0" i="0" u="none" baseline="0">
              <a:solidFill>
                <a:srgbClr val="000000"/>
              </a:solidFill>
              <a:latin typeface="ＭＳ Ｐゴシック"/>
              <a:ea typeface="ＭＳ Ｐゴシック"/>
              <a:cs typeface="ＭＳ Ｐゴシック"/>
            </a:rPr>
            <a:t>システムの初期温度及び最高設定温度を入力してください。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6.</a:t>
          </a:r>
          <a:r>
            <a:rPr lang="en-US" cap="none" sz="1200" b="0" i="0" u="none" baseline="0">
              <a:solidFill>
                <a:srgbClr val="000000"/>
              </a:solidFill>
              <a:latin typeface="ＭＳ Ｐゴシック"/>
              <a:ea typeface="ＭＳ Ｐゴシック"/>
              <a:cs typeface="ＭＳ Ｐゴシック"/>
            </a:rPr>
            <a:t>補給水の圧力を入力してください。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7.</a:t>
          </a:r>
          <a:r>
            <a:rPr lang="en-US" cap="none" sz="1200" b="0" i="0" u="none" baseline="0">
              <a:solidFill>
                <a:srgbClr val="000000"/>
              </a:solidFill>
              <a:latin typeface="ＭＳ Ｐゴシック"/>
              <a:ea typeface="ＭＳ Ｐゴシック"/>
              <a:cs typeface="ＭＳ Ｐゴシック"/>
            </a:rPr>
            <a:t>循環ポンプ楊程を入力してください。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8.</a:t>
          </a:r>
          <a:r>
            <a:rPr lang="en-US" cap="none" sz="1200" b="0" i="0" u="none" baseline="0">
              <a:solidFill>
                <a:srgbClr val="000000"/>
              </a:solidFill>
              <a:latin typeface="ＭＳ Ｐゴシック"/>
              <a:ea typeface="ＭＳ Ｐゴシック"/>
              <a:cs typeface="ＭＳ Ｐゴシック"/>
            </a:rPr>
            <a:t>安全弁のセット圧を入力してください。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以上の入力により型式が選定されます。</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1" i="0" u="sng" baseline="0">
              <a:solidFill>
                <a:srgbClr val="000000"/>
              </a:solidFill>
              <a:latin typeface="ＭＳ Ｐゴシック"/>
              <a:ea typeface="ＭＳ Ｐゴシック"/>
              <a:cs typeface="ＭＳ Ｐゴシック"/>
            </a:rPr>
            <a:t>選択項目に該当するシステムが無い場合は弊社までお問い合わせください。</a:t>
          </a:r>
        </a:p>
      </xdr:txBody>
    </xdr:sp>
    <xdr:clientData/>
  </xdr:twoCellAnchor>
  <xdr:twoCellAnchor editAs="oneCell">
    <xdr:from>
      <xdr:col>14</xdr:col>
      <xdr:colOff>95250</xdr:colOff>
      <xdr:row>1</xdr:row>
      <xdr:rowOff>0</xdr:rowOff>
    </xdr:from>
    <xdr:to>
      <xdr:col>16</xdr:col>
      <xdr:colOff>57150</xdr:colOff>
      <xdr:row>5</xdr:row>
      <xdr:rowOff>152400</xdr:rowOff>
    </xdr:to>
    <xdr:pic>
      <xdr:nvPicPr>
        <xdr:cNvPr id="4" name="Picture 378"/>
        <xdr:cNvPicPr preferRelativeResize="1">
          <a:picLocks noChangeAspect="1"/>
        </xdr:cNvPicPr>
      </xdr:nvPicPr>
      <xdr:blipFill>
        <a:blip r:embed="rId3"/>
        <a:stretch>
          <a:fillRect/>
        </a:stretch>
      </xdr:blipFill>
      <xdr:spPr>
        <a:xfrm>
          <a:off x="6400800" y="228600"/>
          <a:ext cx="933450" cy="85725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381000</xdr:colOff>
      <xdr:row>3</xdr:row>
      <xdr:rowOff>123825</xdr:rowOff>
    </xdr:from>
    <xdr:to>
      <xdr:col>5</xdr:col>
      <xdr:colOff>171450</xdr:colOff>
      <xdr:row>20</xdr:row>
      <xdr:rowOff>38100</xdr:rowOff>
    </xdr:to>
    <xdr:pic>
      <xdr:nvPicPr>
        <xdr:cNvPr id="1" name="hwss_a"/>
        <xdr:cNvPicPr preferRelativeResize="1">
          <a:picLocks noChangeAspect="1"/>
        </xdr:cNvPicPr>
      </xdr:nvPicPr>
      <xdr:blipFill>
        <a:blip r:embed="rId1"/>
        <a:stretch>
          <a:fillRect/>
        </a:stretch>
      </xdr:blipFill>
      <xdr:spPr>
        <a:xfrm>
          <a:off x="381000" y="638175"/>
          <a:ext cx="3219450" cy="2828925"/>
        </a:xfrm>
        <a:prstGeom prst="rect">
          <a:avLst/>
        </a:prstGeom>
        <a:blipFill>
          <a:blip r:embed="rId5"/>
          <a:srcRect/>
          <a:stretch>
            <a:fillRect/>
          </a:stretch>
        </a:blipFill>
        <a:ln w="9525" cmpd="sng">
          <a:noFill/>
        </a:ln>
      </xdr:spPr>
    </xdr:pic>
    <xdr:clientData/>
  </xdr:twoCellAnchor>
  <xdr:twoCellAnchor editAs="oneCell">
    <xdr:from>
      <xdr:col>0</xdr:col>
      <xdr:colOff>381000</xdr:colOff>
      <xdr:row>22</xdr:row>
      <xdr:rowOff>9525</xdr:rowOff>
    </xdr:from>
    <xdr:to>
      <xdr:col>5</xdr:col>
      <xdr:colOff>171450</xdr:colOff>
      <xdr:row>38</xdr:row>
      <xdr:rowOff>95250</xdr:rowOff>
    </xdr:to>
    <xdr:pic>
      <xdr:nvPicPr>
        <xdr:cNvPr id="2" name="hwss_b"/>
        <xdr:cNvPicPr preferRelativeResize="1">
          <a:picLocks noChangeAspect="1"/>
        </xdr:cNvPicPr>
      </xdr:nvPicPr>
      <xdr:blipFill>
        <a:blip r:embed="rId2"/>
        <a:stretch>
          <a:fillRect/>
        </a:stretch>
      </xdr:blipFill>
      <xdr:spPr>
        <a:xfrm>
          <a:off x="381000" y="3781425"/>
          <a:ext cx="3219450" cy="2828925"/>
        </a:xfrm>
        <a:prstGeom prst="rect">
          <a:avLst/>
        </a:prstGeom>
        <a:blipFill>
          <a:blip r:embed="rId6"/>
          <a:srcRect/>
          <a:stretch>
            <a:fillRect/>
          </a:stretch>
        </a:blipFill>
        <a:ln w="9525" cmpd="sng">
          <a:noFill/>
        </a:ln>
      </xdr:spPr>
    </xdr:pic>
    <xdr:clientData/>
  </xdr:twoCellAnchor>
  <xdr:twoCellAnchor editAs="oneCell">
    <xdr:from>
      <xdr:col>6</xdr:col>
      <xdr:colOff>419100</xdr:colOff>
      <xdr:row>3</xdr:row>
      <xdr:rowOff>123825</xdr:rowOff>
    </xdr:from>
    <xdr:to>
      <xdr:col>11</xdr:col>
      <xdr:colOff>209550</xdr:colOff>
      <xdr:row>20</xdr:row>
      <xdr:rowOff>38100</xdr:rowOff>
    </xdr:to>
    <xdr:pic>
      <xdr:nvPicPr>
        <xdr:cNvPr id="3" name="aircon_a"/>
        <xdr:cNvPicPr preferRelativeResize="1">
          <a:picLocks noChangeAspect="1"/>
        </xdr:cNvPicPr>
      </xdr:nvPicPr>
      <xdr:blipFill>
        <a:blip r:embed="rId3"/>
        <a:stretch>
          <a:fillRect/>
        </a:stretch>
      </xdr:blipFill>
      <xdr:spPr>
        <a:xfrm>
          <a:off x="4533900" y="638175"/>
          <a:ext cx="3219450" cy="2828925"/>
        </a:xfrm>
        <a:prstGeom prst="rect">
          <a:avLst/>
        </a:prstGeom>
        <a:blipFill>
          <a:blip r:embed="rId7"/>
          <a:srcRect/>
          <a:stretch>
            <a:fillRect/>
          </a:stretch>
        </a:blipFill>
        <a:ln w="9525" cmpd="sng">
          <a:noFill/>
        </a:ln>
      </xdr:spPr>
    </xdr:pic>
    <xdr:clientData/>
  </xdr:twoCellAnchor>
  <xdr:twoCellAnchor editAs="oneCell">
    <xdr:from>
      <xdr:col>6</xdr:col>
      <xdr:colOff>419100</xdr:colOff>
      <xdr:row>22</xdr:row>
      <xdr:rowOff>9525</xdr:rowOff>
    </xdr:from>
    <xdr:to>
      <xdr:col>11</xdr:col>
      <xdr:colOff>209550</xdr:colOff>
      <xdr:row>38</xdr:row>
      <xdr:rowOff>95250</xdr:rowOff>
    </xdr:to>
    <xdr:pic>
      <xdr:nvPicPr>
        <xdr:cNvPr id="4" name="aircon_b"/>
        <xdr:cNvPicPr preferRelativeResize="1">
          <a:picLocks noChangeAspect="1"/>
        </xdr:cNvPicPr>
      </xdr:nvPicPr>
      <xdr:blipFill>
        <a:blip r:embed="rId4"/>
        <a:stretch>
          <a:fillRect/>
        </a:stretch>
      </xdr:blipFill>
      <xdr:spPr>
        <a:xfrm>
          <a:off x="4533900" y="3781425"/>
          <a:ext cx="3219450" cy="2828925"/>
        </a:xfrm>
        <a:prstGeom prst="rect">
          <a:avLst/>
        </a:prstGeom>
        <a:blipFill>
          <a:blip r:embed="rId8"/>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1"/>
  <dimension ref="A1:S74"/>
  <sheetViews>
    <sheetView showGridLines="0" showRowColHeaders="0" tabSelected="1" view="pageBreakPreview" zoomScaleSheetLayoutView="100" zoomScalePageLayoutView="0" workbookViewId="0" topLeftCell="A1">
      <selection activeCell="S6" sqref="S6"/>
    </sheetView>
  </sheetViews>
  <sheetFormatPr defaultColWidth="9.00390625" defaultRowHeight="13.5"/>
  <cols>
    <col min="1" max="1" width="4.625" style="37" customWidth="1"/>
    <col min="2" max="2" width="4.50390625" style="37" customWidth="1"/>
    <col min="3" max="5" width="9.00390625" style="37" customWidth="1"/>
    <col min="6" max="6" width="5.625" style="37" customWidth="1"/>
    <col min="7" max="10" width="2.625" style="37" customWidth="1"/>
    <col min="11" max="11" width="4.375" style="37" customWidth="1"/>
    <col min="12" max="12" width="8.125" style="37" customWidth="1"/>
    <col min="13" max="14" width="9.00390625" style="37" customWidth="1"/>
    <col min="15" max="15" width="5.125" style="37" customWidth="1"/>
    <col min="16" max="16" width="7.625" style="37" customWidth="1"/>
    <col min="17" max="17" width="1.625" style="37" customWidth="1"/>
    <col min="18" max="18" width="1.75390625" style="37" customWidth="1"/>
    <col min="19" max="16384" width="9.00390625" style="37" customWidth="1"/>
  </cols>
  <sheetData>
    <row r="1" spans="1:18" ht="18" customHeight="1" thickBot="1">
      <c r="A1" s="35"/>
      <c r="B1" s="35"/>
      <c r="C1" s="35"/>
      <c r="D1" s="35"/>
      <c r="E1" s="35"/>
      <c r="F1" s="35"/>
      <c r="G1" s="35"/>
      <c r="H1" s="35"/>
      <c r="I1" s="35"/>
      <c r="J1" s="35"/>
      <c r="K1" s="35"/>
      <c r="L1" s="35"/>
      <c r="M1" s="35"/>
      <c r="N1" s="173"/>
      <c r="O1" s="174"/>
      <c r="P1" s="174"/>
      <c r="Q1" s="174"/>
      <c r="R1" s="35"/>
    </row>
    <row r="2" spans="1:18" ht="19.5" customHeight="1" thickBot="1">
      <c r="A2" s="35"/>
      <c r="B2" s="35"/>
      <c r="C2" s="35"/>
      <c r="D2" s="35"/>
      <c r="E2" s="182" t="s">
        <v>136</v>
      </c>
      <c r="F2" s="183"/>
      <c r="G2" s="183"/>
      <c r="H2" s="183"/>
      <c r="I2" s="183"/>
      <c r="J2" s="183"/>
      <c r="K2" s="183"/>
      <c r="L2" s="184"/>
      <c r="M2" s="35"/>
      <c r="N2" s="38"/>
      <c r="O2" s="35"/>
      <c r="P2" s="35"/>
      <c r="Q2" s="35"/>
      <c r="R2" s="35"/>
    </row>
    <row r="3" spans="1:18" ht="9" customHeight="1">
      <c r="A3" s="35"/>
      <c r="B3" s="35"/>
      <c r="C3" s="35"/>
      <c r="D3" s="35"/>
      <c r="E3" s="35"/>
      <c r="F3" s="35"/>
      <c r="G3" s="35"/>
      <c r="H3" s="35"/>
      <c r="I3" s="35"/>
      <c r="J3" s="35"/>
      <c r="K3" s="35"/>
      <c r="L3" s="35"/>
      <c r="M3" s="35"/>
      <c r="N3" s="35"/>
      <c r="O3" s="35"/>
      <c r="P3" s="35"/>
      <c r="Q3" s="35"/>
      <c r="R3" s="35"/>
    </row>
    <row r="4" spans="1:18" ht="18" customHeight="1">
      <c r="A4" s="35"/>
      <c r="B4" s="157"/>
      <c r="C4" s="157"/>
      <c r="D4" s="157"/>
      <c r="E4" s="157"/>
      <c r="F4" s="157"/>
      <c r="G4" s="157"/>
      <c r="H4" s="157"/>
      <c r="I4" s="157"/>
      <c r="J4" s="157"/>
      <c r="K4" s="39" t="s">
        <v>55</v>
      </c>
      <c r="L4" s="35"/>
      <c r="M4" s="35"/>
      <c r="N4" s="35"/>
      <c r="O4" s="161"/>
      <c r="P4" s="161"/>
      <c r="Q4" s="35"/>
      <c r="R4" s="35"/>
    </row>
    <row r="5" spans="1:18" ht="9" customHeight="1">
      <c r="A5" s="35"/>
      <c r="B5" s="35"/>
      <c r="C5" s="35"/>
      <c r="D5" s="35"/>
      <c r="E5" s="35"/>
      <c r="F5" s="35"/>
      <c r="G5" s="35"/>
      <c r="H5" s="35"/>
      <c r="I5" s="35"/>
      <c r="J5" s="35"/>
      <c r="K5" s="35"/>
      <c r="L5" s="35"/>
      <c r="M5" s="35"/>
      <c r="N5" s="158"/>
      <c r="O5" s="158"/>
      <c r="P5" s="158"/>
      <c r="Q5" s="35"/>
      <c r="R5" s="35"/>
    </row>
    <row r="6" spans="1:18" ht="13.5">
      <c r="A6" s="35"/>
      <c r="B6" s="185" t="s">
        <v>54</v>
      </c>
      <c r="C6" s="185"/>
      <c r="D6" s="157"/>
      <c r="E6" s="157"/>
      <c r="F6" s="157"/>
      <c r="G6" s="157"/>
      <c r="H6" s="157"/>
      <c r="I6" s="157"/>
      <c r="J6" s="157"/>
      <c r="K6" s="35"/>
      <c r="L6" s="35"/>
      <c r="M6" s="35"/>
      <c r="N6" s="35"/>
      <c r="O6" s="35"/>
      <c r="P6" s="35"/>
      <c r="Q6" s="35"/>
      <c r="R6" s="35"/>
    </row>
    <row r="7" spans="1:18" ht="13.5">
      <c r="A7" s="35"/>
      <c r="B7" s="40"/>
      <c r="C7" s="40"/>
      <c r="D7" s="40"/>
      <c r="E7" s="40"/>
      <c r="F7" s="40"/>
      <c r="G7" s="40"/>
      <c r="H7" s="40"/>
      <c r="I7" s="40"/>
      <c r="J7" s="40"/>
      <c r="K7" s="35"/>
      <c r="L7" s="35"/>
      <c r="M7" s="35"/>
      <c r="N7" s="35"/>
      <c r="O7" s="159">
        <f ca="1">TODAY()</f>
        <v>45113</v>
      </c>
      <c r="P7" s="160"/>
      <c r="Q7" s="35"/>
      <c r="R7" s="35"/>
    </row>
    <row r="8" spans="1:18" ht="14.25" thickBot="1">
      <c r="A8" s="35"/>
      <c r="B8" s="40"/>
      <c r="C8" s="40"/>
      <c r="D8" s="40"/>
      <c r="E8" s="40"/>
      <c r="F8" s="40"/>
      <c r="G8" s="40"/>
      <c r="H8" s="40"/>
      <c r="I8" s="40"/>
      <c r="J8" s="40"/>
      <c r="K8" s="35"/>
      <c r="L8" s="35"/>
      <c r="M8" s="40"/>
      <c r="N8" s="41"/>
      <c r="O8" s="41"/>
      <c r="P8" s="41"/>
      <c r="Q8" s="35"/>
      <c r="R8" s="35"/>
    </row>
    <row r="9" spans="1:18" ht="9" customHeight="1">
      <c r="A9" s="35"/>
      <c r="B9" s="176" t="s">
        <v>49</v>
      </c>
      <c r="C9" s="177"/>
      <c r="D9" s="178"/>
      <c r="E9" s="42"/>
      <c r="F9" s="42"/>
      <c r="G9" s="42"/>
      <c r="H9" s="42"/>
      <c r="I9" s="42"/>
      <c r="J9" s="42"/>
      <c r="K9" s="176" t="s">
        <v>11</v>
      </c>
      <c r="L9" s="177"/>
      <c r="M9" s="178"/>
      <c r="N9" s="43"/>
      <c r="O9" s="43"/>
      <c r="P9" s="43"/>
      <c r="Q9" s="44"/>
      <c r="R9" s="35"/>
    </row>
    <row r="10" spans="1:18" ht="9.75" customHeight="1" thickBot="1">
      <c r="A10" s="35"/>
      <c r="B10" s="179"/>
      <c r="C10" s="180"/>
      <c r="D10" s="181"/>
      <c r="E10" s="40"/>
      <c r="F10" s="40"/>
      <c r="G10" s="40"/>
      <c r="H10" s="40"/>
      <c r="I10" s="40"/>
      <c r="J10" s="40"/>
      <c r="K10" s="179"/>
      <c r="L10" s="180"/>
      <c r="M10" s="181"/>
      <c r="N10" s="175"/>
      <c r="O10" s="175"/>
      <c r="P10" s="45"/>
      <c r="Q10" s="46"/>
      <c r="R10" s="35"/>
    </row>
    <row r="11" spans="1:18" ht="13.5">
      <c r="A11" s="35"/>
      <c r="B11" s="47"/>
      <c r="C11" s="40"/>
      <c r="D11" s="40"/>
      <c r="E11" s="40"/>
      <c r="F11" s="40"/>
      <c r="G11" s="40"/>
      <c r="H11" s="40"/>
      <c r="I11" s="40"/>
      <c r="J11" s="40"/>
      <c r="K11" s="48"/>
      <c r="L11" s="49"/>
      <c r="M11" s="49"/>
      <c r="N11" s="49"/>
      <c r="O11" s="49"/>
      <c r="P11" s="49"/>
      <c r="Q11" s="50"/>
      <c r="R11" s="35"/>
    </row>
    <row r="12" spans="1:18" ht="14.25" customHeight="1">
      <c r="A12" s="35"/>
      <c r="B12" s="47"/>
      <c r="C12" s="40"/>
      <c r="D12" s="40"/>
      <c r="E12" s="40"/>
      <c r="F12" s="40"/>
      <c r="G12" s="40"/>
      <c r="H12" s="40"/>
      <c r="I12" s="40"/>
      <c r="J12" s="40"/>
      <c r="K12" s="51" t="s">
        <v>126</v>
      </c>
      <c r="L12" s="149" t="s">
        <v>60</v>
      </c>
      <c r="M12" s="149"/>
      <c r="N12" s="30" t="s">
        <v>194</v>
      </c>
      <c r="O12" s="53"/>
      <c r="P12" s="49"/>
      <c r="Q12" s="50"/>
      <c r="R12" s="35"/>
    </row>
    <row r="13" spans="1:18" ht="7.5" customHeight="1">
      <c r="A13" s="35"/>
      <c r="B13" s="47"/>
      <c r="C13" s="40"/>
      <c r="D13" s="40"/>
      <c r="E13" s="40"/>
      <c r="F13" s="40"/>
      <c r="G13" s="40"/>
      <c r="H13" s="40"/>
      <c r="I13" s="40"/>
      <c r="J13" s="40"/>
      <c r="K13" s="54"/>
      <c r="L13" s="52"/>
      <c r="M13" s="52"/>
      <c r="N13" s="49"/>
      <c r="O13" s="49"/>
      <c r="P13" s="49"/>
      <c r="Q13" s="50"/>
      <c r="R13" s="35"/>
    </row>
    <row r="14" spans="1:18" ht="14.25" customHeight="1">
      <c r="A14" s="35"/>
      <c r="B14" s="47"/>
      <c r="C14" s="40"/>
      <c r="D14" s="40"/>
      <c r="E14" s="40"/>
      <c r="F14" s="40"/>
      <c r="G14" s="40"/>
      <c r="H14" s="40"/>
      <c r="I14" s="40"/>
      <c r="J14" s="40"/>
      <c r="K14" s="51" t="s">
        <v>131</v>
      </c>
      <c r="L14" s="145" t="s">
        <v>124</v>
      </c>
      <c r="M14" s="145"/>
      <c r="N14" s="32" t="s">
        <v>215</v>
      </c>
      <c r="O14" s="49"/>
      <c r="P14" s="49"/>
      <c r="Q14" s="50"/>
      <c r="R14" s="35"/>
    </row>
    <row r="15" spans="1:18" ht="7.5" customHeight="1">
      <c r="A15" s="35"/>
      <c r="B15" s="47"/>
      <c r="C15" s="40"/>
      <c r="D15" s="40"/>
      <c r="E15" s="40"/>
      <c r="F15" s="40"/>
      <c r="G15" s="40"/>
      <c r="H15" s="40"/>
      <c r="I15" s="40"/>
      <c r="J15" s="40"/>
      <c r="K15" s="54"/>
      <c r="L15" s="52"/>
      <c r="M15" s="52"/>
      <c r="N15" s="49"/>
      <c r="O15" s="49"/>
      <c r="P15" s="49"/>
      <c r="Q15" s="50"/>
      <c r="R15" s="35"/>
    </row>
    <row r="16" spans="1:18" ht="14.25" customHeight="1">
      <c r="A16" s="35"/>
      <c r="B16" s="47"/>
      <c r="C16" s="40"/>
      <c r="D16" s="40"/>
      <c r="E16" s="40"/>
      <c r="F16" s="40"/>
      <c r="G16" s="40"/>
      <c r="H16" s="40"/>
      <c r="I16" s="40"/>
      <c r="J16" s="40"/>
      <c r="K16" s="51" t="s">
        <v>130</v>
      </c>
      <c r="L16" s="149" t="s">
        <v>0</v>
      </c>
      <c r="M16" s="149"/>
      <c r="N16" s="30">
        <v>5000</v>
      </c>
      <c r="O16" s="49" t="s">
        <v>28</v>
      </c>
      <c r="Q16" s="50"/>
      <c r="R16" s="35"/>
    </row>
    <row r="17" spans="1:18" ht="14.25" customHeight="1">
      <c r="A17" s="35"/>
      <c r="B17" s="47"/>
      <c r="C17" s="40"/>
      <c r="D17" s="40"/>
      <c r="E17" s="40"/>
      <c r="F17" s="40"/>
      <c r="G17" s="40"/>
      <c r="H17" s="40"/>
      <c r="I17" s="40"/>
      <c r="J17" s="40"/>
      <c r="K17" s="54"/>
      <c r="L17" s="52"/>
      <c r="M17" s="52"/>
      <c r="N17" s="91" t="s">
        <v>125</v>
      </c>
      <c r="O17" s="49"/>
      <c r="P17" s="56"/>
      <c r="Q17" s="50"/>
      <c r="R17" s="35"/>
    </row>
    <row r="18" spans="1:18" ht="13.5">
      <c r="A18" s="35"/>
      <c r="B18" s="47"/>
      <c r="C18" s="40"/>
      <c r="D18" s="40"/>
      <c r="E18" s="40"/>
      <c r="F18" s="40"/>
      <c r="G18" s="40"/>
      <c r="H18" s="40"/>
      <c r="I18" s="40"/>
      <c r="J18" s="40"/>
      <c r="K18" s="54"/>
      <c r="L18" s="149" t="s">
        <v>24</v>
      </c>
      <c r="M18" s="149"/>
      <c r="N18" s="149"/>
      <c r="O18" s="149"/>
      <c r="P18" s="149"/>
      <c r="Q18" s="50"/>
      <c r="R18" s="35"/>
    </row>
    <row r="19" spans="1:18" ht="13.5">
      <c r="A19" s="35"/>
      <c r="B19" s="47"/>
      <c r="C19" s="40"/>
      <c r="D19" s="40"/>
      <c r="E19" s="40"/>
      <c r="F19" s="40"/>
      <c r="G19" s="40"/>
      <c r="H19" s="40"/>
      <c r="I19" s="40"/>
      <c r="J19" s="40"/>
      <c r="K19" s="54"/>
      <c r="L19" s="49" t="s">
        <v>35</v>
      </c>
      <c r="M19" s="49"/>
      <c r="N19" s="49"/>
      <c r="O19" s="49"/>
      <c r="P19" s="49"/>
      <c r="Q19" s="50"/>
      <c r="R19" s="35"/>
    </row>
    <row r="20" spans="1:18" ht="13.5" customHeight="1">
      <c r="A20" s="35"/>
      <c r="B20" s="47"/>
      <c r="C20" s="40"/>
      <c r="D20" s="40"/>
      <c r="E20" s="40"/>
      <c r="F20" s="40"/>
      <c r="G20" s="40"/>
      <c r="H20" s="40"/>
      <c r="I20" s="40"/>
      <c r="J20" s="40"/>
      <c r="K20" s="54"/>
      <c r="L20" s="93" t="s">
        <v>25</v>
      </c>
      <c r="M20" s="49"/>
      <c r="N20" s="49"/>
      <c r="O20" s="49"/>
      <c r="P20" s="49"/>
      <c r="Q20" s="50"/>
      <c r="R20" s="35"/>
    </row>
    <row r="21" spans="1:18" ht="7.5" customHeight="1">
      <c r="A21" s="35"/>
      <c r="B21" s="47"/>
      <c r="C21" s="40"/>
      <c r="D21" s="40"/>
      <c r="E21" s="40"/>
      <c r="F21" s="40"/>
      <c r="G21" s="40"/>
      <c r="H21" s="40"/>
      <c r="I21" s="40"/>
      <c r="J21" s="40"/>
      <c r="K21" s="54"/>
      <c r="L21" s="49"/>
      <c r="M21" s="49"/>
      <c r="N21" s="49"/>
      <c r="O21" s="49"/>
      <c r="P21" s="49"/>
      <c r="Q21" s="50"/>
      <c r="R21" s="35"/>
    </row>
    <row r="22" spans="1:18" ht="14.25" customHeight="1">
      <c r="A22" s="35"/>
      <c r="B22" s="47"/>
      <c r="C22" s="40"/>
      <c r="D22" s="40"/>
      <c r="E22" s="40"/>
      <c r="F22" s="40"/>
      <c r="G22" s="40"/>
      <c r="H22" s="40"/>
      <c r="I22" s="40"/>
      <c r="J22" s="40"/>
      <c r="K22" s="51" t="s">
        <v>129</v>
      </c>
      <c r="L22" s="149" t="s">
        <v>1</v>
      </c>
      <c r="M22" s="149"/>
      <c r="N22" s="30">
        <v>5</v>
      </c>
      <c r="O22" s="49" t="s">
        <v>29</v>
      </c>
      <c r="P22" s="57"/>
      <c r="Q22" s="50"/>
      <c r="R22" s="35"/>
    </row>
    <row r="23" spans="1:18" ht="7.5" customHeight="1">
      <c r="A23" s="35"/>
      <c r="B23" s="47"/>
      <c r="C23" s="40"/>
      <c r="D23" s="40"/>
      <c r="E23" s="40"/>
      <c r="F23" s="40"/>
      <c r="G23" s="40"/>
      <c r="H23" s="35"/>
      <c r="I23" s="35"/>
      <c r="J23" s="40"/>
      <c r="K23" s="54"/>
      <c r="L23" s="49"/>
      <c r="M23" s="49"/>
      <c r="N23" s="58"/>
      <c r="O23" s="59"/>
      <c r="P23" s="49"/>
      <c r="Q23" s="50"/>
      <c r="R23" s="35"/>
    </row>
    <row r="24" spans="1:18" ht="14.25" customHeight="1">
      <c r="A24" s="35"/>
      <c r="B24" s="47"/>
      <c r="C24" s="40"/>
      <c r="D24" s="40"/>
      <c r="E24" s="40"/>
      <c r="F24" s="40"/>
      <c r="G24" s="40"/>
      <c r="H24" s="35"/>
      <c r="I24" s="35"/>
      <c r="J24" s="60" t="s">
        <v>12</v>
      </c>
      <c r="K24" s="51" t="s">
        <v>128</v>
      </c>
      <c r="L24" s="145" t="s">
        <v>2</v>
      </c>
      <c r="M24" s="150"/>
      <c r="N24" s="30">
        <v>60</v>
      </c>
      <c r="O24" s="49" t="s">
        <v>30</v>
      </c>
      <c r="P24" s="57"/>
      <c r="Q24" s="50"/>
      <c r="R24" s="35"/>
    </row>
    <row r="25" spans="1:18" ht="7.5" customHeight="1">
      <c r="A25" s="35"/>
      <c r="B25" s="47"/>
      <c r="C25" s="40"/>
      <c r="D25" s="40"/>
      <c r="E25" s="40"/>
      <c r="F25" s="40"/>
      <c r="G25" s="40"/>
      <c r="H25" s="40"/>
      <c r="I25" s="40"/>
      <c r="J25" s="40"/>
      <c r="K25" s="54"/>
      <c r="L25" s="49"/>
      <c r="M25" s="49"/>
      <c r="N25" s="49"/>
      <c r="O25" s="49"/>
      <c r="P25" s="49"/>
      <c r="Q25" s="50"/>
      <c r="R25" s="35"/>
    </row>
    <row r="26" spans="1:19" ht="14.25" customHeight="1">
      <c r="A26" s="35"/>
      <c r="B26" s="47"/>
      <c r="C26" s="40"/>
      <c r="D26" s="40"/>
      <c r="E26" s="40"/>
      <c r="F26" s="40"/>
      <c r="G26" s="40"/>
      <c r="H26" s="40"/>
      <c r="I26" s="40"/>
      <c r="J26" s="40"/>
      <c r="K26" s="51" t="s">
        <v>127</v>
      </c>
      <c r="L26" s="149" t="s">
        <v>3</v>
      </c>
      <c r="M26" s="149"/>
      <c r="N26" s="30">
        <v>0.1</v>
      </c>
      <c r="O26" s="151" t="s">
        <v>31</v>
      </c>
      <c r="P26" s="145"/>
      <c r="Q26" s="50"/>
      <c r="R26" s="35"/>
      <c r="S26" s="37" t="s">
        <v>12</v>
      </c>
    </row>
    <row r="27" spans="1:18" ht="13.5">
      <c r="A27" s="35"/>
      <c r="B27" s="47"/>
      <c r="C27" s="40"/>
      <c r="D27" s="40"/>
      <c r="E27" s="40"/>
      <c r="F27" s="40"/>
      <c r="G27" s="40"/>
      <c r="H27" s="40"/>
      <c r="I27" s="40"/>
      <c r="J27" s="40"/>
      <c r="K27" s="54"/>
      <c r="L27" s="49" t="s">
        <v>26</v>
      </c>
      <c r="M27" s="49"/>
      <c r="N27" s="49"/>
      <c r="O27" s="49"/>
      <c r="P27" s="49"/>
      <c r="Q27" s="50"/>
      <c r="R27" s="35"/>
    </row>
    <row r="28" spans="1:18" ht="13.5">
      <c r="A28" s="35"/>
      <c r="B28" s="47"/>
      <c r="C28" s="40"/>
      <c r="D28" s="40"/>
      <c r="E28" s="40"/>
      <c r="F28" s="40"/>
      <c r="G28" s="40"/>
      <c r="H28" s="40"/>
      <c r="I28" s="40"/>
      <c r="J28" s="40"/>
      <c r="K28" s="54"/>
      <c r="L28" s="148" t="s">
        <v>51</v>
      </c>
      <c r="M28" s="148"/>
      <c r="N28" s="148"/>
      <c r="O28" s="148"/>
      <c r="P28" s="148"/>
      <c r="Q28" s="50"/>
      <c r="R28" s="35"/>
    </row>
    <row r="29" spans="1:18" ht="13.5">
      <c r="A29" s="35"/>
      <c r="B29" s="47"/>
      <c r="C29" s="40"/>
      <c r="D29" s="40"/>
      <c r="E29" s="40"/>
      <c r="F29" s="40"/>
      <c r="G29" s="40"/>
      <c r="H29" s="40"/>
      <c r="I29" s="40"/>
      <c r="J29" s="40"/>
      <c r="K29" s="54"/>
      <c r="L29" s="49"/>
      <c r="M29" s="153" t="s">
        <v>34</v>
      </c>
      <c r="N29" s="153"/>
      <c r="O29" s="153"/>
      <c r="P29" s="153"/>
      <c r="Q29" s="154"/>
      <c r="R29" s="35"/>
    </row>
    <row r="30" spans="1:18" ht="13.5" customHeight="1">
      <c r="A30" s="35"/>
      <c r="B30" s="47"/>
      <c r="C30" s="40"/>
      <c r="D30" s="40"/>
      <c r="E30" s="40"/>
      <c r="F30" s="40"/>
      <c r="G30" s="40"/>
      <c r="H30" s="40"/>
      <c r="I30" s="40"/>
      <c r="J30" s="40"/>
      <c r="K30" s="54"/>
      <c r="L30" s="49"/>
      <c r="M30" s="63"/>
      <c r="N30" s="155" t="s">
        <v>50</v>
      </c>
      <c r="O30" s="155"/>
      <c r="P30" s="155"/>
      <c r="Q30" s="156"/>
      <c r="R30" s="35"/>
    </row>
    <row r="31" spans="1:18" ht="13.5">
      <c r="A31" s="35"/>
      <c r="B31" s="47"/>
      <c r="C31" s="40"/>
      <c r="D31" s="40"/>
      <c r="E31" s="40"/>
      <c r="F31" s="40"/>
      <c r="G31" s="40"/>
      <c r="H31" s="40"/>
      <c r="I31" s="40"/>
      <c r="J31" s="40"/>
      <c r="K31" s="54"/>
      <c r="L31" s="49" t="s">
        <v>27</v>
      </c>
      <c r="M31" s="49"/>
      <c r="N31" s="49"/>
      <c r="O31" s="49"/>
      <c r="P31" s="49"/>
      <c r="Q31" s="50"/>
      <c r="R31" s="35"/>
    </row>
    <row r="32" spans="1:18" ht="13.5">
      <c r="A32" s="35"/>
      <c r="B32" s="47"/>
      <c r="C32" s="40"/>
      <c r="D32" s="40"/>
      <c r="E32" s="40"/>
      <c r="F32" s="40"/>
      <c r="G32" s="40"/>
      <c r="H32" s="40"/>
      <c r="I32" s="40"/>
      <c r="J32" s="40"/>
      <c r="K32" s="54"/>
      <c r="L32" s="148" t="s">
        <v>51</v>
      </c>
      <c r="M32" s="148"/>
      <c r="N32" s="148"/>
      <c r="O32" s="148"/>
      <c r="P32" s="148"/>
      <c r="Q32" s="50"/>
      <c r="R32" s="35"/>
    </row>
    <row r="33" spans="1:18" ht="13.5">
      <c r="A33" s="35"/>
      <c r="B33" s="47"/>
      <c r="C33" s="40"/>
      <c r="D33" s="40"/>
      <c r="E33" s="40"/>
      <c r="F33" s="40"/>
      <c r="G33" s="40"/>
      <c r="H33" s="40"/>
      <c r="I33" s="40"/>
      <c r="J33" s="40"/>
      <c r="K33" s="54"/>
      <c r="L33" s="49"/>
      <c r="M33" s="153" t="s">
        <v>52</v>
      </c>
      <c r="N33" s="153"/>
      <c r="O33" s="153"/>
      <c r="P33" s="153"/>
      <c r="Q33" s="154"/>
      <c r="R33" s="35"/>
    </row>
    <row r="34" spans="1:18" ht="13.5" customHeight="1">
      <c r="A34" s="35"/>
      <c r="B34" s="47"/>
      <c r="C34" s="40"/>
      <c r="D34" s="40"/>
      <c r="E34" s="40"/>
      <c r="F34" s="40"/>
      <c r="G34" s="40"/>
      <c r="H34" s="40"/>
      <c r="I34" s="40"/>
      <c r="J34" s="40"/>
      <c r="K34" s="54"/>
      <c r="L34" s="49"/>
      <c r="M34" s="63"/>
      <c r="N34" s="153" t="s">
        <v>53</v>
      </c>
      <c r="O34" s="153"/>
      <c r="P34" s="153"/>
      <c r="Q34" s="154"/>
      <c r="R34" s="35"/>
    </row>
    <row r="35" spans="1:18" ht="7.5" customHeight="1">
      <c r="A35" s="35"/>
      <c r="B35" s="47"/>
      <c r="C35" s="40"/>
      <c r="D35" s="40"/>
      <c r="E35" s="40"/>
      <c r="F35" s="40"/>
      <c r="G35" s="40"/>
      <c r="H35" s="40"/>
      <c r="I35" s="40"/>
      <c r="J35" s="40"/>
      <c r="K35" s="54"/>
      <c r="L35" s="49"/>
      <c r="M35" s="63"/>
      <c r="N35" s="63"/>
      <c r="O35" s="63"/>
      <c r="P35" s="63"/>
      <c r="Q35" s="50"/>
      <c r="R35" s="35"/>
    </row>
    <row r="36" spans="1:18" ht="14.25" customHeight="1">
      <c r="A36" s="35"/>
      <c r="B36" s="47"/>
      <c r="C36" s="40"/>
      <c r="D36" s="40"/>
      <c r="E36" s="40"/>
      <c r="F36" s="40"/>
      <c r="G36" s="40"/>
      <c r="H36" s="40"/>
      <c r="I36" s="40"/>
      <c r="J36" s="40"/>
      <c r="K36" s="51" t="s">
        <v>132</v>
      </c>
      <c r="L36" s="149" t="s">
        <v>4</v>
      </c>
      <c r="M36" s="149"/>
      <c r="N36" s="30">
        <v>10</v>
      </c>
      <c r="O36" s="55" t="s">
        <v>32</v>
      </c>
      <c r="P36" s="64"/>
      <c r="Q36" s="50"/>
      <c r="R36" s="35"/>
    </row>
    <row r="37" spans="1:18" ht="7.5" customHeight="1">
      <c r="A37" s="35"/>
      <c r="B37" s="47"/>
      <c r="C37" s="40"/>
      <c r="D37" s="40"/>
      <c r="E37" s="40"/>
      <c r="F37" s="40"/>
      <c r="G37" s="40"/>
      <c r="H37" s="40"/>
      <c r="I37" s="40"/>
      <c r="J37" s="40"/>
      <c r="K37" s="54"/>
      <c r="L37" s="49"/>
      <c r="M37" s="63"/>
      <c r="N37" s="63"/>
      <c r="O37" s="55"/>
      <c r="P37" s="55"/>
      <c r="Q37" s="50"/>
      <c r="R37" s="35"/>
    </row>
    <row r="38" spans="1:18" ht="14.25" customHeight="1">
      <c r="A38" s="35"/>
      <c r="B38" s="167"/>
      <c r="C38" s="168"/>
      <c r="D38" s="168"/>
      <c r="E38" s="168"/>
      <c r="F38" s="168"/>
      <c r="G38" s="168"/>
      <c r="H38" s="168"/>
      <c r="I38" s="168"/>
      <c r="J38" s="169"/>
      <c r="K38" s="51" t="s">
        <v>133</v>
      </c>
      <c r="L38" s="149" t="s">
        <v>5</v>
      </c>
      <c r="M38" s="149"/>
      <c r="N38" s="30">
        <v>0.6</v>
      </c>
      <c r="O38" s="145" t="s">
        <v>33</v>
      </c>
      <c r="P38" s="145"/>
      <c r="Q38" s="50"/>
      <c r="R38" s="35"/>
    </row>
    <row r="39" spans="1:18" ht="6.75" customHeight="1" thickBot="1">
      <c r="A39" s="35"/>
      <c r="B39" s="65"/>
      <c r="C39" s="66"/>
      <c r="D39" s="66"/>
      <c r="E39" s="66"/>
      <c r="F39" s="66"/>
      <c r="G39" s="66"/>
      <c r="H39" s="66"/>
      <c r="I39" s="66"/>
      <c r="J39" s="66"/>
      <c r="K39" s="67"/>
      <c r="L39" s="68"/>
      <c r="M39" s="69"/>
      <c r="N39" s="69"/>
      <c r="O39" s="69"/>
      <c r="P39" s="69"/>
      <c r="Q39" s="70"/>
      <c r="R39" s="35"/>
    </row>
    <row r="40" spans="1:18" ht="9" customHeight="1">
      <c r="A40" s="35"/>
      <c r="B40" s="35"/>
      <c r="C40" s="35"/>
      <c r="D40" s="35"/>
      <c r="E40" s="35"/>
      <c r="F40" s="35"/>
      <c r="G40" s="35"/>
      <c r="H40" s="35"/>
      <c r="I40" s="35"/>
      <c r="J40" s="35"/>
      <c r="K40" s="36"/>
      <c r="L40" s="35"/>
      <c r="M40" s="71"/>
      <c r="N40" s="71"/>
      <c r="O40" s="71"/>
      <c r="P40" s="71"/>
      <c r="Q40" s="35"/>
      <c r="R40" s="35"/>
    </row>
    <row r="41" spans="1:18" ht="15" customHeight="1">
      <c r="A41" s="35"/>
      <c r="B41" s="170" t="s">
        <v>6</v>
      </c>
      <c r="C41" s="170"/>
      <c r="D41" s="170"/>
      <c r="E41" s="35"/>
      <c r="F41" s="35"/>
      <c r="G41" s="35"/>
      <c r="H41" s="35"/>
      <c r="I41" s="35"/>
      <c r="J41" s="35"/>
      <c r="K41" s="36"/>
      <c r="L41" s="35"/>
      <c r="M41" s="71"/>
      <c r="N41" s="71"/>
      <c r="O41" s="71"/>
      <c r="P41" s="71"/>
      <c r="Q41" s="35"/>
      <c r="R41" s="35"/>
    </row>
    <row r="42" spans="1:18" ht="7.5" customHeight="1">
      <c r="A42" s="72"/>
      <c r="B42" s="72"/>
      <c r="C42" s="72"/>
      <c r="D42" s="72"/>
      <c r="E42" s="72"/>
      <c r="F42" s="72"/>
      <c r="G42" s="72"/>
      <c r="H42" s="72"/>
      <c r="I42" s="72"/>
      <c r="J42" s="72"/>
      <c r="K42" s="73"/>
      <c r="L42" s="72"/>
      <c r="M42" s="74"/>
      <c r="N42" s="74"/>
      <c r="O42" s="74"/>
      <c r="P42" s="74"/>
      <c r="Q42" s="72"/>
      <c r="R42" s="35"/>
    </row>
    <row r="43" spans="1:18" ht="14.25" customHeight="1">
      <c r="A43" s="72"/>
      <c r="B43" s="75" t="s">
        <v>36</v>
      </c>
      <c r="C43" s="166" t="s">
        <v>7</v>
      </c>
      <c r="D43" s="166"/>
      <c r="E43" s="58" t="s">
        <v>37</v>
      </c>
      <c r="F43" s="58" t="s">
        <v>38</v>
      </c>
      <c r="G43" s="146" t="str">
        <f>'マクロ入出力値'!C17</f>
        <v>補給水圧力</v>
      </c>
      <c r="H43" s="146"/>
      <c r="I43" s="146"/>
      <c r="J43" s="146"/>
      <c r="K43" s="146"/>
      <c r="L43" s="146"/>
      <c r="M43" s="146"/>
      <c r="N43" s="52">
        <f>'マクロ入出力値'!C13</f>
        <v>0.1</v>
      </c>
      <c r="O43" s="145" t="s">
        <v>31</v>
      </c>
      <c r="P43" s="146"/>
      <c r="Q43" s="59"/>
      <c r="R43" s="35"/>
    </row>
    <row r="44" spans="1:18" ht="7.5" customHeight="1">
      <c r="A44" s="72"/>
      <c r="B44" s="75"/>
      <c r="C44" s="59"/>
      <c r="D44" s="59"/>
      <c r="E44" s="59"/>
      <c r="F44" s="75"/>
      <c r="G44" s="35"/>
      <c r="H44" s="35"/>
      <c r="I44" s="59"/>
      <c r="J44" s="59"/>
      <c r="K44" s="35"/>
      <c r="L44" s="59"/>
      <c r="M44" s="76"/>
      <c r="N44" s="76"/>
      <c r="O44" s="76"/>
      <c r="P44" s="76"/>
      <c r="Q44" s="59"/>
      <c r="R44" s="35"/>
    </row>
    <row r="45" spans="1:18" ht="14.25" customHeight="1">
      <c r="A45" s="72"/>
      <c r="B45" s="63" t="s">
        <v>131</v>
      </c>
      <c r="C45" s="147" t="s">
        <v>8</v>
      </c>
      <c r="D45" s="147"/>
      <c r="E45" s="58" t="s">
        <v>39</v>
      </c>
      <c r="F45" s="58" t="s">
        <v>40</v>
      </c>
      <c r="G45" s="146" t="str">
        <f>'マクロ入出力値'!C18</f>
        <v>安全弁セット圧 - 循環ポンプ揚程</v>
      </c>
      <c r="H45" s="146"/>
      <c r="I45" s="146"/>
      <c r="J45" s="146"/>
      <c r="K45" s="146"/>
      <c r="L45" s="146"/>
      <c r="M45" s="146"/>
      <c r="N45" s="78">
        <f>'マクロ入出力値'!C14</f>
        <v>0.5</v>
      </c>
      <c r="O45" s="145" t="s">
        <v>33</v>
      </c>
      <c r="P45" s="146"/>
      <c r="Q45" s="59"/>
      <c r="R45" s="35"/>
    </row>
    <row r="46" spans="1:18" ht="7.5" customHeight="1">
      <c r="A46" s="72"/>
      <c r="B46" s="49"/>
      <c r="C46" s="59"/>
      <c r="D46" s="59"/>
      <c r="E46" s="59"/>
      <c r="F46" s="59"/>
      <c r="G46" s="59"/>
      <c r="H46" s="35"/>
      <c r="I46" s="59"/>
      <c r="J46" s="59"/>
      <c r="K46" s="35"/>
      <c r="L46" s="59"/>
      <c r="M46" s="59"/>
      <c r="N46" s="59"/>
      <c r="O46" s="59"/>
      <c r="P46" s="59"/>
      <c r="Q46" s="59"/>
      <c r="R46" s="35"/>
    </row>
    <row r="47" spans="1:18" ht="14.25" customHeight="1">
      <c r="A47" s="72"/>
      <c r="B47" s="63" t="s">
        <v>130</v>
      </c>
      <c r="C47" s="147" t="s">
        <v>9</v>
      </c>
      <c r="D47" s="147"/>
      <c r="E47" s="58" t="s">
        <v>41</v>
      </c>
      <c r="F47" s="58" t="s">
        <v>42</v>
      </c>
      <c r="G47" s="79" t="s">
        <v>10</v>
      </c>
      <c r="H47" s="35"/>
      <c r="I47" s="79"/>
      <c r="J47" s="79"/>
      <c r="K47" s="79"/>
      <c r="L47" s="79"/>
      <c r="M47" s="35"/>
      <c r="N47" s="35"/>
      <c r="O47" s="35"/>
      <c r="P47" s="35"/>
      <c r="Q47" s="59"/>
      <c r="R47" s="35"/>
    </row>
    <row r="48" spans="1:18" ht="6" customHeight="1">
      <c r="A48" s="72"/>
      <c r="B48" s="75"/>
      <c r="C48" s="59"/>
      <c r="D48" s="59"/>
      <c r="E48" s="59"/>
      <c r="F48" s="59"/>
      <c r="G48" s="59"/>
      <c r="H48" s="59"/>
      <c r="I48" s="59"/>
      <c r="J48" s="59"/>
      <c r="K48" s="35"/>
      <c r="L48" s="59"/>
      <c r="M48" s="59"/>
      <c r="N48" s="59"/>
      <c r="O48" s="59"/>
      <c r="P48" s="59"/>
      <c r="Q48" s="59"/>
      <c r="R48" s="35"/>
    </row>
    <row r="49" spans="1:18" ht="13.5">
      <c r="A49" s="72"/>
      <c r="B49" s="75"/>
      <c r="C49" s="59"/>
      <c r="D49" s="59"/>
      <c r="E49" s="59"/>
      <c r="F49" s="58" t="s">
        <v>43</v>
      </c>
      <c r="G49" s="59"/>
      <c r="H49" s="148">
        <f>N16</f>
        <v>5000</v>
      </c>
      <c r="I49" s="148"/>
      <c r="J49" s="148"/>
      <c r="K49" s="58" t="s">
        <v>104</v>
      </c>
      <c r="L49" s="104">
        <f>ROUND(IF(N17="不凍液50%",'膨張係数'!K12,'膨張係数'!D12),5)</f>
        <v>0.01506</v>
      </c>
      <c r="M49" s="35"/>
      <c r="N49" s="35"/>
      <c r="O49" s="59"/>
      <c r="P49" s="59"/>
      <c r="Q49" s="59"/>
      <c r="R49" s="35"/>
    </row>
    <row r="50" spans="1:18" ht="6" customHeight="1">
      <c r="A50" s="72"/>
      <c r="B50" s="75"/>
      <c r="C50" s="59"/>
      <c r="D50" s="59"/>
      <c r="E50" s="59"/>
      <c r="F50" s="59"/>
      <c r="G50" s="59"/>
      <c r="H50" s="79"/>
      <c r="I50" s="59"/>
      <c r="J50" s="59"/>
      <c r="K50" s="35"/>
      <c r="L50" s="59"/>
      <c r="M50" s="59"/>
      <c r="N50" s="59"/>
      <c r="O50" s="59"/>
      <c r="P50" s="59"/>
      <c r="Q50" s="59"/>
      <c r="R50" s="35"/>
    </row>
    <row r="51" spans="1:18" ht="13.5">
      <c r="A51" s="72"/>
      <c r="B51" s="75"/>
      <c r="C51" s="59"/>
      <c r="D51" s="59"/>
      <c r="E51" s="59"/>
      <c r="F51" s="58" t="s">
        <v>43</v>
      </c>
      <c r="G51" s="59"/>
      <c r="H51" s="163">
        <f>ROUND(H49*L49,1)</f>
        <v>75.3</v>
      </c>
      <c r="I51" s="163"/>
      <c r="J51" s="163"/>
      <c r="K51" s="49" t="s">
        <v>28</v>
      </c>
      <c r="L51" s="35"/>
      <c r="M51" s="49"/>
      <c r="N51" s="61"/>
      <c r="O51" s="59"/>
      <c r="P51" s="59"/>
      <c r="Q51" s="59"/>
      <c r="R51" s="35"/>
    </row>
    <row r="52" spans="1:18" ht="7.5" customHeight="1">
      <c r="A52" s="72"/>
      <c r="B52" s="75"/>
      <c r="C52" s="59"/>
      <c r="D52" s="59"/>
      <c r="E52" s="59"/>
      <c r="F52" s="59"/>
      <c r="G52" s="59"/>
      <c r="H52" s="59"/>
      <c r="I52" s="59"/>
      <c r="J52" s="59"/>
      <c r="K52" s="35"/>
      <c r="L52" s="59"/>
      <c r="M52" s="59"/>
      <c r="N52" s="59"/>
      <c r="O52" s="59"/>
      <c r="P52" s="59"/>
      <c r="Q52" s="59"/>
      <c r="R52" s="35"/>
    </row>
    <row r="53" spans="1:18" ht="14.25" customHeight="1">
      <c r="A53" s="72"/>
      <c r="B53" s="171" t="s">
        <v>129</v>
      </c>
      <c r="C53" s="172" t="s">
        <v>13</v>
      </c>
      <c r="D53" s="172"/>
      <c r="E53" s="165" t="s">
        <v>44</v>
      </c>
      <c r="F53" s="165" t="s">
        <v>45</v>
      </c>
      <c r="G53" s="81"/>
      <c r="H53" s="148" t="s">
        <v>46</v>
      </c>
      <c r="I53" s="148"/>
      <c r="J53" s="148"/>
      <c r="K53" s="148"/>
      <c r="L53" s="148"/>
      <c r="M53" s="148"/>
      <c r="N53" s="35"/>
      <c r="O53" s="59"/>
      <c r="P53" s="59"/>
      <c r="Q53" s="59"/>
      <c r="R53" s="35"/>
    </row>
    <row r="54" spans="1:18" ht="14.25" customHeight="1">
      <c r="A54" s="72"/>
      <c r="B54" s="171"/>
      <c r="C54" s="172"/>
      <c r="D54" s="172"/>
      <c r="E54" s="165"/>
      <c r="F54" s="165"/>
      <c r="G54" s="59"/>
      <c r="H54" s="152" t="s">
        <v>48</v>
      </c>
      <c r="I54" s="152"/>
      <c r="J54" s="152"/>
      <c r="K54" s="152"/>
      <c r="L54" s="164" t="s">
        <v>57</v>
      </c>
      <c r="M54" s="164"/>
      <c r="N54" s="35"/>
      <c r="O54" s="59"/>
      <c r="P54" s="59"/>
      <c r="Q54" s="59"/>
      <c r="R54" s="35"/>
    </row>
    <row r="55" spans="1:18" ht="14.25" customHeight="1">
      <c r="A55" s="72"/>
      <c r="B55" s="75"/>
      <c r="C55" s="59"/>
      <c r="D55" s="59"/>
      <c r="E55" s="59"/>
      <c r="F55" s="59"/>
      <c r="G55" s="59"/>
      <c r="H55" s="148"/>
      <c r="I55" s="148"/>
      <c r="J55" s="148"/>
      <c r="K55" s="148"/>
      <c r="L55" s="152" t="s">
        <v>56</v>
      </c>
      <c r="M55" s="152"/>
      <c r="N55" s="35"/>
      <c r="O55" s="59"/>
      <c r="P55" s="59"/>
      <c r="Q55" s="59"/>
      <c r="R55" s="35"/>
    </row>
    <row r="56" spans="1:18" ht="6" customHeight="1">
      <c r="A56" s="72"/>
      <c r="B56" s="75"/>
      <c r="C56" s="59"/>
      <c r="D56" s="59"/>
      <c r="E56" s="59"/>
      <c r="F56" s="59"/>
      <c r="G56" s="59"/>
      <c r="H56" s="59"/>
      <c r="I56" s="59"/>
      <c r="J56" s="59"/>
      <c r="K56" s="59"/>
      <c r="L56" s="59"/>
      <c r="M56" s="59"/>
      <c r="N56" s="59"/>
      <c r="O56" s="59"/>
      <c r="P56" s="59"/>
      <c r="Q56" s="59"/>
      <c r="R56" s="35"/>
    </row>
    <row r="57" spans="1:18" ht="14.25" customHeight="1">
      <c r="A57" s="72"/>
      <c r="B57" s="75"/>
      <c r="C57" s="59"/>
      <c r="D57" s="59"/>
      <c r="E57" s="59"/>
      <c r="F57" s="165" t="s">
        <v>45</v>
      </c>
      <c r="G57" s="82"/>
      <c r="H57" s="162">
        <f>H51</f>
        <v>75.3</v>
      </c>
      <c r="I57" s="162"/>
      <c r="J57" s="162"/>
      <c r="K57" s="162"/>
      <c r="L57" s="162"/>
      <c r="M57" s="162"/>
      <c r="N57" s="80"/>
      <c r="O57" s="59"/>
      <c r="P57" s="59"/>
      <c r="Q57" s="59"/>
      <c r="R57" s="35"/>
    </row>
    <row r="58" spans="1:18" ht="14.25" customHeight="1">
      <c r="A58" s="72"/>
      <c r="B58" s="75"/>
      <c r="C58" s="59"/>
      <c r="D58" s="59"/>
      <c r="E58" s="59"/>
      <c r="F58" s="165"/>
      <c r="G58" s="59"/>
      <c r="H58" s="148" t="s">
        <v>48</v>
      </c>
      <c r="I58" s="148"/>
      <c r="J58" s="148"/>
      <c r="K58" s="148"/>
      <c r="L58" s="81">
        <f>N43</f>
        <v>0.1</v>
      </c>
      <c r="M58" s="83" t="s">
        <v>58</v>
      </c>
      <c r="N58" s="35"/>
      <c r="O58" s="59"/>
      <c r="P58" s="59"/>
      <c r="Q58" s="59"/>
      <c r="R58" s="35"/>
    </row>
    <row r="59" spans="1:18" ht="14.25" customHeight="1">
      <c r="A59" s="72"/>
      <c r="B59" s="75"/>
      <c r="C59" s="59"/>
      <c r="D59" s="59"/>
      <c r="E59" s="59"/>
      <c r="F59" s="59"/>
      <c r="G59" s="59"/>
      <c r="H59" s="148"/>
      <c r="I59" s="148"/>
      <c r="J59" s="148"/>
      <c r="K59" s="148"/>
      <c r="L59" s="62">
        <f>N45</f>
        <v>0.5</v>
      </c>
      <c r="M59" s="84" t="s">
        <v>58</v>
      </c>
      <c r="N59" s="35"/>
      <c r="O59" s="59"/>
      <c r="P59" s="59"/>
      <c r="Q59" s="59"/>
      <c r="R59" s="35"/>
    </row>
    <row r="60" spans="1:18" ht="6" customHeight="1">
      <c r="A60" s="72"/>
      <c r="B60" s="75"/>
      <c r="C60" s="59"/>
      <c r="D60" s="59"/>
      <c r="E60" s="59"/>
      <c r="F60" s="59"/>
      <c r="G60" s="59"/>
      <c r="H60" s="59"/>
      <c r="I60" s="59"/>
      <c r="J60" s="59"/>
      <c r="K60" s="59"/>
      <c r="L60" s="59"/>
      <c r="M60" s="59"/>
      <c r="N60" s="59"/>
      <c r="O60" s="59"/>
      <c r="P60" s="59"/>
      <c r="Q60" s="59"/>
      <c r="R60" s="35"/>
    </row>
    <row r="61" spans="1:18" ht="13.5">
      <c r="A61" s="72"/>
      <c r="B61" s="75"/>
      <c r="C61" s="59"/>
      <c r="D61" s="59"/>
      <c r="E61" s="59"/>
      <c r="F61" s="58" t="s">
        <v>43</v>
      </c>
      <c r="G61" s="75"/>
      <c r="H61" s="119">
        <f>IF(N43=N45,0,H57/(1-(L58+0.1)/(L59+0.1)))</f>
        <v>112.95</v>
      </c>
      <c r="I61" s="119"/>
      <c r="J61" s="119"/>
      <c r="K61" s="49" t="s">
        <v>28</v>
      </c>
      <c r="L61" s="35"/>
      <c r="M61" s="59"/>
      <c r="N61" s="80"/>
      <c r="O61" s="85"/>
      <c r="P61" s="59"/>
      <c r="Q61" s="59"/>
      <c r="R61" s="35"/>
    </row>
    <row r="62" spans="1:18" ht="7.5" customHeight="1">
      <c r="A62" s="72"/>
      <c r="B62" s="75"/>
      <c r="C62" s="59"/>
      <c r="D62" s="59"/>
      <c r="E62" s="59"/>
      <c r="F62" s="59"/>
      <c r="G62" s="59"/>
      <c r="H62" s="59"/>
      <c r="I62" s="59"/>
      <c r="J62" s="59"/>
      <c r="K62" s="59"/>
      <c r="L62" s="59"/>
      <c r="M62" s="59"/>
      <c r="N62" s="59"/>
      <c r="O62" s="59"/>
      <c r="P62" s="59"/>
      <c r="Q62" s="59"/>
      <c r="R62" s="35"/>
    </row>
    <row r="63" spans="1:18" ht="18.75" customHeight="1">
      <c r="A63" s="72"/>
      <c r="B63" s="63" t="s">
        <v>128</v>
      </c>
      <c r="C63" s="130" t="s">
        <v>22</v>
      </c>
      <c r="D63" s="131"/>
      <c r="E63" s="120"/>
      <c r="F63" s="120"/>
      <c r="G63" s="120"/>
      <c r="H63" s="120"/>
      <c r="I63" s="120"/>
      <c r="J63" s="120"/>
      <c r="K63" s="120"/>
      <c r="L63" s="120"/>
      <c r="M63" s="86"/>
      <c r="N63" s="87"/>
      <c r="O63" s="87"/>
      <c r="P63" s="87"/>
      <c r="Q63" s="59"/>
      <c r="R63" s="35"/>
    </row>
    <row r="64" spans="1:18" ht="6" customHeight="1" thickBot="1">
      <c r="A64" s="72"/>
      <c r="B64" s="75"/>
      <c r="C64" s="77"/>
      <c r="D64" s="77"/>
      <c r="E64" s="52"/>
      <c r="F64" s="52"/>
      <c r="G64" s="52"/>
      <c r="H64" s="52"/>
      <c r="I64" s="52"/>
      <c r="J64" s="52"/>
      <c r="K64" s="52"/>
      <c r="L64" s="86"/>
      <c r="M64" s="86"/>
      <c r="N64" s="87"/>
      <c r="O64" s="87"/>
      <c r="P64" s="87"/>
      <c r="Q64" s="59"/>
      <c r="R64" s="35"/>
    </row>
    <row r="65" spans="1:18" ht="18.75" customHeight="1" thickBot="1">
      <c r="A65" s="72"/>
      <c r="B65" s="88"/>
      <c r="C65" s="113" t="s">
        <v>98</v>
      </c>
      <c r="D65" s="114"/>
      <c r="E65" s="115"/>
      <c r="F65" s="124" t="s">
        <v>100</v>
      </c>
      <c r="G65" s="125"/>
      <c r="H65" s="125"/>
      <c r="I65" s="125"/>
      <c r="J65" s="125"/>
      <c r="K65" s="126"/>
      <c r="L65" s="124" t="s">
        <v>102</v>
      </c>
      <c r="M65" s="125"/>
      <c r="N65" s="125"/>
      <c r="O65" s="126"/>
      <c r="P65" s="132"/>
      <c r="Q65" s="133"/>
      <c r="R65" s="35"/>
    </row>
    <row r="66" spans="1:18" ht="18.75" customHeight="1" thickBot="1">
      <c r="A66" s="72"/>
      <c r="B66" s="88"/>
      <c r="C66" s="116" t="s">
        <v>306</v>
      </c>
      <c r="D66" s="117"/>
      <c r="E66" s="118"/>
      <c r="F66" s="127" t="str">
        <f>VLOOKUP(C66,'タンク基礎データ'!B4:F70,3,FALSE)</f>
        <v>総容量：170㍑、最大吸収容量：136㍑</v>
      </c>
      <c r="G66" s="128"/>
      <c r="H66" s="128"/>
      <c r="I66" s="128"/>
      <c r="J66" s="128"/>
      <c r="K66" s="129"/>
      <c r="L66" s="127" t="str">
        <f>VLOOKUP(C66,'タンク基礎データ'!B4:F70,4,FALSE)</f>
        <v>最高使用圧力：0.6ＭＰａ、最高使用温度：95℃</v>
      </c>
      <c r="M66" s="128"/>
      <c r="N66" s="128"/>
      <c r="O66" s="129"/>
      <c r="P66" s="134"/>
      <c r="Q66" s="135"/>
      <c r="R66" s="35"/>
    </row>
    <row r="67" spans="1:18" ht="18.75" customHeight="1" hidden="1" thickBot="1">
      <c r="A67" s="72"/>
      <c r="B67" s="89">
        <v>2</v>
      </c>
      <c r="C67" s="121" t="str">
        <f ca="1">IF($N$12="給湯用",OFFSET('タンク基礎データ'!B$3,'タンク基礎データ'!Q5,0),OFFSET('タンク基礎データ'!B$47,タンク基礎データ!#REF!,0))</f>
        <v>AFX-200NX(第二種圧力容器)</v>
      </c>
      <c r="D67" s="122"/>
      <c r="E67" s="123"/>
      <c r="F67" s="127" t="str">
        <f ca="1">IF($N$12="給湯用",OFFSET('タンク基礎データ'!B$3,'タンク基礎データ'!Q5,2),OFFSET('タンク基礎データ'!B$47,タンク基礎データ!#REF!,2))</f>
        <v>総容量：220㍑、最大吸収容量：176㍑</v>
      </c>
      <c r="G67" s="128"/>
      <c r="H67" s="128"/>
      <c r="I67" s="128"/>
      <c r="J67" s="128"/>
      <c r="K67" s="129"/>
      <c r="L67" s="127" t="str">
        <f ca="1">IF($N$12="給湯用",OFFSET('タンク基礎データ'!B$3,'タンク基礎データ'!Q5,3),OFFSET('タンク基礎データ'!B$47,タンク基礎データ!#REF!,3))</f>
        <v>最高使用圧力：0.8ＭＰａ、最高使用温度：95℃</v>
      </c>
      <c r="M67" s="128"/>
      <c r="N67" s="128"/>
      <c r="O67" s="129"/>
      <c r="P67" s="136"/>
      <c r="Q67" s="136"/>
      <c r="R67" s="35"/>
    </row>
    <row r="68" spans="1:18" ht="6" customHeight="1" thickBot="1">
      <c r="A68" s="72"/>
      <c r="B68" s="75"/>
      <c r="C68" s="59"/>
      <c r="D68" s="59"/>
      <c r="E68" s="59"/>
      <c r="F68" s="59"/>
      <c r="G68" s="59"/>
      <c r="H68" s="59"/>
      <c r="I68" s="59"/>
      <c r="J68" s="59"/>
      <c r="K68" s="59"/>
      <c r="L68" s="58"/>
      <c r="M68" s="58"/>
      <c r="N68" s="59"/>
      <c r="O68" s="59"/>
      <c r="P68" s="59"/>
      <c r="Q68" s="59"/>
      <c r="R68" s="35"/>
    </row>
    <row r="69" spans="1:18" ht="18.75" customHeight="1" thickBot="1">
      <c r="A69" s="72"/>
      <c r="B69" s="75"/>
      <c r="C69" s="141" t="s">
        <v>23</v>
      </c>
      <c r="D69" s="142"/>
      <c r="E69" s="92">
        <f>N43</f>
        <v>0.1</v>
      </c>
      <c r="F69" s="143" t="s">
        <v>47</v>
      </c>
      <c r="G69" s="144"/>
      <c r="H69" s="90"/>
      <c r="I69" s="61"/>
      <c r="J69" s="35"/>
      <c r="K69" s="35"/>
      <c r="L69" s="85"/>
      <c r="M69" s="85"/>
      <c r="N69" s="85"/>
      <c r="O69" s="85"/>
      <c r="P69" s="85"/>
      <c r="Q69" s="59"/>
      <c r="R69" s="35"/>
    </row>
    <row r="70" spans="1:18" ht="9" customHeight="1" thickBot="1">
      <c r="A70" s="35"/>
      <c r="B70" s="36"/>
      <c r="C70" s="35"/>
      <c r="D70" s="35"/>
      <c r="E70" s="35"/>
      <c r="F70" s="35"/>
      <c r="G70" s="35"/>
      <c r="H70" s="35"/>
      <c r="I70" s="35"/>
      <c r="J70" s="35"/>
      <c r="K70" s="35"/>
      <c r="L70" s="35"/>
      <c r="M70" s="35"/>
      <c r="N70" s="35"/>
      <c r="O70" s="35"/>
      <c r="P70" s="35"/>
      <c r="Q70" s="35"/>
      <c r="R70" s="35"/>
    </row>
    <row r="71" spans="1:18" ht="14.25" customHeight="1" thickBot="1">
      <c r="A71" s="35"/>
      <c r="B71" s="137" t="s">
        <v>103</v>
      </c>
      <c r="C71" s="137"/>
      <c r="D71" s="140"/>
      <c r="E71" s="140"/>
      <c r="F71" s="140"/>
      <c r="G71" s="140"/>
      <c r="H71" s="140"/>
      <c r="I71" s="140"/>
      <c r="J71" s="140"/>
      <c r="K71" s="140"/>
      <c r="L71" s="140"/>
      <c r="M71" s="140"/>
      <c r="N71" s="140"/>
      <c r="O71" s="140"/>
      <c r="P71" s="140"/>
      <c r="Q71" s="140"/>
      <c r="R71" s="35"/>
    </row>
    <row r="72" spans="1:18" ht="14.25" customHeight="1" thickBot="1">
      <c r="A72" s="35"/>
      <c r="B72" s="137"/>
      <c r="C72" s="137"/>
      <c r="D72" s="138"/>
      <c r="E72" s="138"/>
      <c r="F72" s="138"/>
      <c r="G72" s="138"/>
      <c r="H72" s="138"/>
      <c r="I72" s="138"/>
      <c r="J72" s="138"/>
      <c r="K72" s="138"/>
      <c r="L72" s="138"/>
      <c r="M72" s="138"/>
      <c r="N72" s="138"/>
      <c r="O72" s="138"/>
      <c r="P72" s="138"/>
      <c r="Q72" s="138"/>
      <c r="R72" s="35"/>
    </row>
    <row r="73" spans="1:18" ht="14.25" customHeight="1" thickBot="1">
      <c r="A73" s="35"/>
      <c r="B73" s="137"/>
      <c r="C73" s="137"/>
      <c r="D73" s="138"/>
      <c r="E73" s="138"/>
      <c r="F73" s="138"/>
      <c r="G73" s="138"/>
      <c r="H73" s="138"/>
      <c r="I73" s="138"/>
      <c r="J73" s="138"/>
      <c r="K73" s="138"/>
      <c r="L73" s="138"/>
      <c r="M73" s="138"/>
      <c r="N73" s="138"/>
      <c r="O73" s="138"/>
      <c r="P73" s="138"/>
      <c r="Q73" s="138"/>
      <c r="R73" s="35"/>
    </row>
    <row r="74" spans="1:18" ht="14.25" customHeight="1" thickBot="1">
      <c r="A74" s="35"/>
      <c r="B74" s="137"/>
      <c r="C74" s="137"/>
      <c r="D74" s="139"/>
      <c r="E74" s="139"/>
      <c r="F74" s="139"/>
      <c r="G74" s="139"/>
      <c r="H74" s="139"/>
      <c r="I74" s="139"/>
      <c r="J74" s="139"/>
      <c r="K74" s="139"/>
      <c r="L74" s="139"/>
      <c r="M74" s="139"/>
      <c r="N74" s="139"/>
      <c r="O74" s="139"/>
      <c r="P74" s="139"/>
      <c r="Q74" s="139"/>
      <c r="R74" s="35"/>
    </row>
  </sheetData>
  <sheetProtection password="C6B1" sheet="1" objects="1" scenarios="1"/>
  <mergeCells count="72">
    <mergeCell ref="N1:Q1"/>
    <mergeCell ref="D6:J6"/>
    <mergeCell ref="N34:Q34"/>
    <mergeCell ref="L18:P18"/>
    <mergeCell ref="L12:M12"/>
    <mergeCell ref="N10:O10"/>
    <mergeCell ref="K9:M10"/>
    <mergeCell ref="B9:D10"/>
    <mergeCell ref="E2:L2"/>
    <mergeCell ref="B6:C6"/>
    <mergeCell ref="C43:D43"/>
    <mergeCell ref="B38:J38"/>
    <mergeCell ref="B41:D41"/>
    <mergeCell ref="G43:M43"/>
    <mergeCell ref="B53:B54"/>
    <mergeCell ref="E53:E54"/>
    <mergeCell ref="C53:D54"/>
    <mergeCell ref="G45:M45"/>
    <mergeCell ref="H49:J49"/>
    <mergeCell ref="C47:D47"/>
    <mergeCell ref="B4:J4"/>
    <mergeCell ref="N5:P5"/>
    <mergeCell ref="O7:P7"/>
    <mergeCell ref="O4:P4"/>
    <mergeCell ref="H57:M57"/>
    <mergeCell ref="H51:J51"/>
    <mergeCell ref="L54:M54"/>
    <mergeCell ref="F53:F54"/>
    <mergeCell ref="F57:F58"/>
    <mergeCell ref="H58:K59"/>
    <mergeCell ref="H54:K55"/>
    <mergeCell ref="L55:M55"/>
    <mergeCell ref="H53:M53"/>
    <mergeCell ref="L16:M16"/>
    <mergeCell ref="L26:M26"/>
    <mergeCell ref="L32:P32"/>
    <mergeCell ref="L36:M36"/>
    <mergeCell ref="M33:Q33"/>
    <mergeCell ref="M29:Q29"/>
    <mergeCell ref="N30:Q30"/>
    <mergeCell ref="L14:M14"/>
    <mergeCell ref="O43:P43"/>
    <mergeCell ref="C45:D45"/>
    <mergeCell ref="L28:P28"/>
    <mergeCell ref="O45:P45"/>
    <mergeCell ref="L38:M38"/>
    <mergeCell ref="O38:P38"/>
    <mergeCell ref="L22:M22"/>
    <mergeCell ref="L24:M24"/>
    <mergeCell ref="O26:P26"/>
    <mergeCell ref="B71:C74"/>
    <mergeCell ref="D73:Q73"/>
    <mergeCell ref="D74:Q74"/>
    <mergeCell ref="D72:Q72"/>
    <mergeCell ref="D71:Q71"/>
    <mergeCell ref="C69:D69"/>
    <mergeCell ref="F69:G69"/>
    <mergeCell ref="P65:Q65"/>
    <mergeCell ref="P66:Q66"/>
    <mergeCell ref="P67:Q67"/>
    <mergeCell ref="L66:O66"/>
    <mergeCell ref="L67:O67"/>
    <mergeCell ref="L65:O65"/>
    <mergeCell ref="C65:E65"/>
    <mergeCell ref="C66:E66"/>
    <mergeCell ref="H61:J61"/>
    <mergeCell ref="E63:L63"/>
    <mergeCell ref="C67:E67"/>
    <mergeCell ref="F65:K65"/>
    <mergeCell ref="F66:K66"/>
    <mergeCell ref="F67:K67"/>
    <mergeCell ref="C63:D63"/>
  </mergeCells>
  <dataValidations count="10">
    <dataValidation type="list" allowBlank="1" showInputMessage="1" showErrorMessage="1" sqref="N12">
      <formula1>"給湯用,空調用"</formula1>
    </dataValidation>
    <dataValidation type="list" allowBlank="1" showInputMessage="1" showErrorMessage="1" sqref="N17">
      <formula1>"水,不凍液50%"</formula1>
    </dataValidation>
    <dataValidation type="list" allowBlank="1" showInputMessage="1" showErrorMessage="1" sqref="N14">
      <formula1>"鋼板製,ｽﾃﾝﾚｽ製"</formula1>
    </dataValidation>
    <dataValidation allowBlank="1" showInputMessage="1" showErrorMessage="1" sqref="AD66"/>
    <dataValidation type="whole" operator="greaterThan" allowBlank="1" showInputMessage="1" showErrorMessage="1" errorTitle="タンク使用圧力について" error="タンク最低使用圧力(P1)≧タンク最高使用圧力(P2)となっています。&#10;&#10;条件を変更してください。" sqref="N45">
      <formula1>N43</formula1>
    </dataValidation>
    <dataValidation type="list" allowBlank="1" showInputMessage="1" showErrorMessage="1" sqref="C66">
      <formula1>"BFA-100NX(第二種圧力容器),AFX-200NX(第二種圧力容器)"</formula1>
    </dataValidation>
    <dataValidation type="whole" operator="greaterThanOrEqual" allowBlank="1" showInputMessage="1" showErrorMessage="1" errorTitle="入力値-初期温度-" error="-10℃以下対応不可&#10;【タンク材質別最低使用温度】&#10;鋼板製：0℃&#10;ステンレス製：-10℃" sqref="N22">
      <formula1>-10</formula1>
    </dataValidation>
    <dataValidation type="whole" operator="lessThanOrEqual" allowBlank="1" showInputMessage="1" showErrorMessage="1" errorTitle="入力値-最高設定温度-" error="95℃超対応不可" sqref="N24">
      <formula1>95</formula1>
    </dataValidation>
    <dataValidation type="decimal" allowBlank="1" showInputMessage="1" showErrorMessage="1" errorTitle="入力値-補給水圧力-" error="0MPaまたは0.8MPa以上の数値入力不可" sqref="N26">
      <formula1>0.0001</formula1>
      <formula2>0.79</formula2>
    </dataValidation>
    <dataValidation type="decimal" allowBlank="1" showInputMessage="1" showErrorMessage="1" errorTitle="入力値-安全弁セット圧-" error="0MPaまたは0.8MPaを超える数値入力不可" sqref="N38">
      <formula1>0.0001</formula1>
      <formula2>0.8</formula2>
    </dataValidation>
  </dataValidations>
  <printOptions/>
  <pageMargins left="0.3937007874015748" right="0.1968503937007874" top="0" bottom="0" header="0" footer="0"/>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C14"/>
  <sheetViews>
    <sheetView zoomScalePageLayoutView="0" workbookViewId="0" topLeftCell="A1">
      <selection activeCell="C15" sqref="C15"/>
    </sheetView>
  </sheetViews>
  <sheetFormatPr defaultColWidth="9.00390625" defaultRowHeight="13.5"/>
  <cols>
    <col min="1" max="1" width="11.625" style="96" customWidth="1"/>
    <col min="2" max="2" width="73.625" style="0" customWidth="1"/>
  </cols>
  <sheetData>
    <row r="1" spans="1:3" ht="13.5">
      <c r="A1" s="96" t="s">
        <v>145</v>
      </c>
      <c r="B1" t="s">
        <v>144</v>
      </c>
      <c r="C1" t="s">
        <v>143</v>
      </c>
    </row>
    <row r="2" spans="1:3" ht="13.5">
      <c r="A2" s="96">
        <v>41937</v>
      </c>
      <c r="B2" t="s">
        <v>139</v>
      </c>
      <c r="C2" t="s">
        <v>141</v>
      </c>
    </row>
    <row r="3" spans="1:3" ht="13.5">
      <c r="A3" s="96">
        <v>42013</v>
      </c>
      <c r="B3" t="s">
        <v>140</v>
      </c>
      <c r="C3" t="s">
        <v>142</v>
      </c>
    </row>
    <row r="4" spans="1:3" ht="13.5">
      <c r="A4" s="96">
        <v>42154</v>
      </c>
      <c r="B4" t="s">
        <v>148</v>
      </c>
      <c r="C4" t="s">
        <v>149</v>
      </c>
    </row>
    <row r="5" spans="1:3" ht="13.5">
      <c r="A5" s="96">
        <v>42430</v>
      </c>
      <c r="B5" t="s">
        <v>150</v>
      </c>
      <c r="C5" t="s">
        <v>149</v>
      </c>
    </row>
    <row r="6" spans="1:3" ht="13.5">
      <c r="A6" s="96">
        <v>43115</v>
      </c>
      <c r="B6" t="s">
        <v>195</v>
      </c>
      <c r="C6" t="s">
        <v>149</v>
      </c>
    </row>
    <row r="7" spans="1:3" ht="13.5">
      <c r="A7" s="100">
        <v>43420</v>
      </c>
      <c r="B7" t="s">
        <v>198</v>
      </c>
      <c r="C7" t="s">
        <v>199</v>
      </c>
    </row>
    <row r="8" spans="1:3" ht="13.5">
      <c r="A8" s="96">
        <v>43452</v>
      </c>
      <c r="B8" t="s">
        <v>200</v>
      </c>
      <c r="C8" t="s">
        <v>199</v>
      </c>
    </row>
    <row r="9" spans="1:3" ht="13.5">
      <c r="A9" s="96">
        <v>44371</v>
      </c>
      <c r="B9" t="s">
        <v>210</v>
      </c>
      <c r="C9" t="s">
        <v>199</v>
      </c>
    </row>
    <row r="10" spans="1:3" ht="13.5">
      <c r="A10" s="100">
        <v>44593</v>
      </c>
      <c r="B10" t="s">
        <v>211</v>
      </c>
      <c r="C10" t="s">
        <v>199</v>
      </c>
    </row>
    <row r="11" spans="1:3" ht="13.5">
      <c r="A11" s="96">
        <v>44620</v>
      </c>
      <c r="B11" t="s">
        <v>212</v>
      </c>
      <c r="C11" t="s">
        <v>199</v>
      </c>
    </row>
    <row r="12" spans="1:3" ht="13.5">
      <c r="A12" s="100">
        <v>44755</v>
      </c>
      <c r="B12" t="s">
        <v>213</v>
      </c>
      <c r="C12" t="s">
        <v>199</v>
      </c>
    </row>
    <row r="13" spans="1:3" ht="13.5">
      <c r="A13" s="96">
        <v>44775</v>
      </c>
      <c r="B13" t="s">
        <v>214</v>
      </c>
      <c r="C13" t="s">
        <v>199</v>
      </c>
    </row>
    <row r="14" spans="1:3" ht="13.5">
      <c r="A14" s="96">
        <v>45113</v>
      </c>
      <c r="B14" t="s">
        <v>301</v>
      </c>
      <c r="C14" t="s">
        <v>224</v>
      </c>
    </row>
  </sheetData>
  <sheetProtection/>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5"/>
  <dimension ref="B2:C18"/>
  <sheetViews>
    <sheetView zoomScalePageLayoutView="0" workbookViewId="0" topLeftCell="A1">
      <selection activeCell="C16" sqref="C16"/>
    </sheetView>
  </sheetViews>
  <sheetFormatPr defaultColWidth="9.00390625" defaultRowHeight="13.5"/>
  <cols>
    <col min="1" max="1" width="2.625" style="0" customWidth="1"/>
    <col min="2" max="2" width="20.625" style="0" customWidth="1"/>
    <col min="3" max="3" width="9.625" style="0" customWidth="1"/>
  </cols>
  <sheetData>
    <row r="2" ht="13.5">
      <c r="B2" s="4" t="s">
        <v>61</v>
      </c>
    </row>
    <row r="3" spans="2:3" ht="13.5">
      <c r="B3" s="2" t="s">
        <v>59</v>
      </c>
      <c r="C3" s="3" t="str">
        <f>'選定書'!N12</f>
        <v>給湯用</v>
      </c>
    </row>
    <row r="4" spans="2:3" ht="13.5">
      <c r="B4" s="2" t="s">
        <v>62</v>
      </c>
      <c r="C4" s="3">
        <f>'選定書'!N16</f>
        <v>5000</v>
      </c>
    </row>
    <row r="5" spans="2:3" ht="13.5">
      <c r="B5" s="2" t="s">
        <v>63</v>
      </c>
      <c r="C5" s="3">
        <f>'選定書'!N22</f>
        <v>5</v>
      </c>
    </row>
    <row r="6" spans="2:3" ht="13.5">
      <c r="B6" s="2" t="s">
        <v>64</v>
      </c>
      <c r="C6" s="3">
        <f>'選定書'!N24</f>
        <v>60</v>
      </c>
    </row>
    <row r="7" spans="2:3" ht="13.5">
      <c r="B7" s="2" t="s">
        <v>65</v>
      </c>
      <c r="C7" s="3">
        <f>'選定書'!N26</f>
        <v>0.1</v>
      </c>
    </row>
    <row r="8" spans="2:3" ht="13.5">
      <c r="B8" s="2" t="s">
        <v>66</v>
      </c>
      <c r="C8" s="3">
        <f>'選定書'!N36</f>
        <v>10</v>
      </c>
    </row>
    <row r="9" spans="2:3" ht="13.5">
      <c r="B9" s="2" t="s">
        <v>67</v>
      </c>
      <c r="C9" s="3">
        <f>'選定書'!N38</f>
        <v>0.6</v>
      </c>
    </row>
    <row r="10" spans="2:3" ht="13.5">
      <c r="B10" s="2" t="s">
        <v>68</v>
      </c>
      <c r="C10" s="3">
        <f>'選定書'!L49</f>
        <v>0.01506</v>
      </c>
    </row>
    <row r="12" ht="13.5">
      <c r="B12" s="4" t="s">
        <v>69</v>
      </c>
    </row>
    <row r="13" spans="2:3" ht="13.5">
      <c r="B13" s="2" t="s">
        <v>65</v>
      </c>
      <c r="C13" s="3">
        <v>0.1</v>
      </c>
    </row>
    <row r="14" spans="2:3" ht="13.5">
      <c r="B14" s="2" t="s">
        <v>67</v>
      </c>
      <c r="C14" s="3">
        <v>0.5</v>
      </c>
    </row>
    <row r="15" spans="2:3" ht="13.5">
      <c r="B15" s="2" t="s">
        <v>70</v>
      </c>
      <c r="C15" s="3">
        <v>75.5</v>
      </c>
    </row>
    <row r="16" spans="2:3" ht="13.5">
      <c r="B16" s="2" t="s">
        <v>71</v>
      </c>
      <c r="C16" s="3">
        <v>113.25</v>
      </c>
    </row>
    <row r="17" spans="2:3" ht="13.5">
      <c r="B17" s="2" t="s">
        <v>122</v>
      </c>
      <c r="C17" s="29" t="s">
        <v>65</v>
      </c>
    </row>
    <row r="18" spans="2:3" ht="13.5">
      <c r="B18" s="2" t="s">
        <v>123</v>
      </c>
      <c r="C18" s="29" t="s">
        <v>216</v>
      </c>
    </row>
  </sheetData>
  <sheetProtection/>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6"/>
  <dimension ref="A2:R73"/>
  <sheetViews>
    <sheetView zoomScale="90" zoomScaleNormal="90" zoomScalePageLayoutView="0" workbookViewId="0" topLeftCell="A1">
      <pane xSplit="2" ySplit="3" topLeftCell="C4" activePane="bottomRight" state="frozen"/>
      <selection pane="topLeft" activeCell="B4" sqref="B4:J4"/>
      <selection pane="topRight" activeCell="B4" sqref="B4:J4"/>
      <selection pane="bottomLeft" activeCell="B4" sqref="B4:J4"/>
      <selection pane="bottomRight" activeCell="Q3" sqref="Q3"/>
    </sheetView>
  </sheetViews>
  <sheetFormatPr defaultColWidth="9.00390625" defaultRowHeight="13.5"/>
  <cols>
    <col min="1" max="1" width="4.625" style="109" customWidth="1"/>
    <col min="2" max="2" width="23.625" style="109" customWidth="1"/>
    <col min="3" max="4" width="25.625" style="109" customWidth="1"/>
    <col min="5" max="5" width="27.625" style="109" customWidth="1"/>
    <col min="6" max="6" width="8.625" style="109" customWidth="1"/>
    <col min="7" max="7" width="4.625" style="109" customWidth="1"/>
    <col min="8" max="10" width="5.625" style="109" customWidth="1"/>
    <col min="11" max="15" width="3.625" style="109" customWidth="1"/>
    <col min="16" max="16" width="3.625" style="0" customWidth="1"/>
    <col min="17" max="17" width="6.625" style="0" customWidth="1"/>
  </cols>
  <sheetData>
    <row r="1" ht="13.5"/>
    <row r="2" ht="13.5">
      <c r="B2" s="4" t="s">
        <v>97</v>
      </c>
    </row>
    <row r="3" spans="2:15" ht="13.5">
      <c r="B3" s="5" t="s">
        <v>96</v>
      </c>
      <c r="C3" s="5" t="s">
        <v>94</v>
      </c>
      <c r="D3" s="5" t="s">
        <v>95</v>
      </c>
      <c r="E3" s="5" t="s">
        <v>101</v>
      </c>
      <c r="F3" s="5" t="s">
        <v>72</v>
      </c>
      <c r="G3" s="8"/>
      <c r="O3" s="109">
        <f>10^5</f>
        <v>100000</v>
      </c>
    </row>
    <row r="4" spans="2:18" ht="13.5">
      <c r="B4" s="102" t="s">
        <v>240</v>
      </c>
      <c r="C4" s="102" t="s">
        <v>14</v>
      </c>
      <c r="D4" s="102" t="s">
        <v>74</v>
      </c>
      <c r="E4" s="102" t="s">
        <v>15</v>
      </c>
      <c r="F4" s="101"/>
      <c r="G4" s="9"/>
      <c r="H4" s="1">
        <v>8</v>
      </c>
      <c r="I4" s="1">
        <v>5.3</v>
      </c>
      <c r="J4" s="103"/>
      <c r="K4" s="34">
        <f>IF(AND('選定書'!$H$61&lt;=H4,'選定書'!$H$51&lt;=I4,'選定書'!$N$38&lt;=J4,'選定書'!$N$45&lt;=J4),1,0)</f>
        <v>0</v>
      </c>
      <c r="L4" s="7">
        <f>K4</f>
        <v>0</v>
      </c>
      <c r="M4" s="7">
        <f>IF(L4=1,1,0)</f>
        <v>0</v>
      </c>
      <c r="N4" s="7">
        <f>M4</f>
        <v>0</v>
      </c>
      <c r="O4" s="7">
        <f>IF('選定書'!$H$61*$O$3&gt;H4,1,0)</f>
        <v>1</v>
      </c>
      <c r="P4" s="7"/>
      <c r="Q4">
        <f>MATCH(1,N4:N45,0)</f>
        <v>20</v>
      </c>
      <c r="R4" t="str">
        <f ca="1">IF('選定書'!$H$61&lt;=0,"",OFFSET(B$3,Q4,0))</f>
        <v>BFA-100NX(第二種圧力容器)</v>
      </c>
    </row>
    <row r="5" spans="2:18" ht="13.5">
      <c r="B5" s="102" t="s">
        <v>241</v>
      </c>
      <c r="C5" s="102" t="s">
        <v>16</v>
      </c>
      <c r="D5" s="102" t="s">
        <v>73</v>
      </c>
      <c r="E5" s="102" t="s">
        <v>15</v>
      </c>
      <c r="F5" s="101"/>
      <c r="G5" s="9"/>
      <c r="H5" s="1">
        <v>18</v>
      </c>
      <c r="I5" s="1">
        <v>11.4</v>
      </c>
      <c r="J5" s="103"/>
      <c r="K5" s="34">
        <f>IF(AND('選定書'!$H$61&lt;=H5,'選定書'!$H$51&lt;=I5,'選定書'!$N$38&lt;=J5,'選定書'!$N$45&lt;=J5),1,0)</f>
        <v>0</v>
      </c>
      <c r="L5" s="7">
        <f>IF(K5&lt;&gt;0,L4+K5,0)</f>
        <v>0</v>
      </c>
      <c r="M5" s="7">
        <f>IF(L5=1,1,0)</f>
        <v>0</v>
      </c>
      <c r="N5" s="7">
        <f>N4+M5</f>
        <v>0</v>
      </c>
      <c r="O5" s="7">
        <f>IF('選定書'!$H$61*$O$3&gt;H5,1,0)</f>
        <v>1</v>
      </c>
      <c r="P5" s="7"/>
      <c r="Q5">
        <f>MATCH(2,N4:N45,0)</f>
        <v>29</v>
      </c>
      <c r="R5" t="str">
        <f ca="1">IF('選定書'!$H$61&lt;=0,"",IF(OFFSET($O$3,Q5,0)=1,OFFSET(B$3,Q5,0),""))</f>
        <v>AFX-200NX(第二種圧力容器)</v>
      </c>
    </row>
    <row r="6" spans="2:18" ht="13.5">
      <c r="B6" s="102" t="s">
        <v>242</v>
      </c>
      <c r="C6" s="102" t="s">
        <v>17</v>
      </c>
      <c r="D6" s="102" t="s">
        <v>75</v>
      </c>
      <c r="E6" s="102" t="s">
        <v>15</v>
      </c>
      <c r="F6" s="101"/>
      <c r="G6" s="9"/>
      <c r="H6" s="1">
        <v>24</v>
      </c>
      <c r="I6" s="1">
        <v>16.3</v>
      </c>
      <c r="J6" s="103"/>
      <c r="K6" s="34">
        <f>IF(AND('選定書'!$H$61&lt;=H6,'選定書'!$H$51&lt;=I6,'選定書'!$N$38&lt;=J6,'選定書'!$N$45&lt;=J6),1,0)</f>
        <v>0</v>
      </c>
      <c r="L6" s="7">
        <f aca="true" t="shared" si="0" ref="L6:L27">IF(K6&lt;&gt;0,L5+K6,0)</f>
        <v>0</v>
      </c>
      <c r="M6" s="7">
        <f>IF(L6=1,1,0)</f>
        <v>0</v>
      </c>
      <c r="N6" s="7">
        <f aca="true" t="shared" si="1" ref="N6:N29">N5+M6</f>
        <v>0</v>
      </c>
      <c r="O6" s="7">
        <f>IF('選定書'!$H$61*$O$3&gt;H6,1,0)</f>
        <v>1</v>
      </c>
      <c r="P6" s="7"/>
      <c r="Q6" t="e">
        <f>MATCH(3,N4:N45,0)</f>
        <v>#N/A</v>
      </c>
      <c r="R6" t="e">
        <f ca="1">IF('選定書'!$H$61&lt;=0,"",IF(OFFSET($O$3,Q6,0)=1,OFFSET(B$3,Q6,0),""))</f>
        <v>#N/A</v>
      </c>
    </row>
    <row r="7" spans="2:18" ht="13.5">
      <c r="B7" s="102" t="s">
        <v>243</v>
      </c>
      <c r="C7" s="102" t="s">
        <v>18</v>
      </c>
      <c r="D7" s="102" t="s">
        <v>76</v>
      </c>
      <c r="E7" s="102" t="s">
        <v>15</v>
      </c>
      <c r="F7" s="101"/>
      <c r="G7" s="9"/>
      <c r="H7" s="1">
        <v>35</v>
      </c>
      <c r="I7" s="1">
        <v>23.8</v>
      </c>
      <c r="J7" s="103"/>
      <c r="K7" s="34">
        <f>IF(AND('選定書'!$H$61&lt;=H7,'選定書'!$H$51&lt;=I7,'選定書'!$N$38&lt;=J7,'選定書'!$N$45&lt;=J7),1,0)</f>
        <v>0</v>
      </c>
      <c r="L7" s="7">
        <f t="shared" si="0"/>
        <v>0</v>
      </c>
      <c r="M7" s="7">
        <f>IF(L7=1,1,0)</f>
        <v>0</v>
      </c>
      <c r="N7" s="7">
        <f t="shared" si="1"/>
        <v>0</v>
      </c>
      <c r="O7" s="7">
        <f>IF('選定書'!$H$61*$O$3&gt;H7,1,0)</f>
        <v>1</v>
      </c>
      <c r="P7" s="7"/>
      <c r="Q7" t="e">
        <f>MATCH(4,N4:N45,0)</f>
        <v>#N/A</v>
      </c>
      <c r="R7" t="e">
        <f ca="1">IF('選定書'!$H$61&lt;=0,"",IF(OFFSET($O$3,Q7,0)=1,OFFSET(B$3,Q7,0),""))</f>
        <v>#N/A</v>
      </c>
    </row>
    <row r="8" spans="2:16" ht="13.5">
      <c r="B8" s="102" t="s">
        <v>244</v>
      </c>
      <c r="C8" s="102" t="s">
        <v>19</v>
      </c>
      <c r="D8" s="102" t="s">
        <v>77</v>
      </c>
      <c r="E8" s="102" t="s">
        <v>99</v>
      </c>
      <c r="F8" s="101"/>
      <c r="G8" s="9"/>
      <c r="H8" s="1">
        <v>50</v>
      </c>
      <c r="I8" s="1">
        <v>30</v>
      </c>
      <c r="J8" s="103"/>
      <c r="K8" s="34">
        <f>IF(AND('選定書'!$H$61&lt;=H8,'選定書'!$H$51&lt;=I8,'選定書'!$N$38&lt;=J8,'選定書'!$N$45&lt;=J8),1,0)</f>
        <v>0</v>
      </c>
      <c r="L8" s="7">
        <f t="shared" si="0"/>
        <v>0</v>
      </c>
      <c r="M8" s="7">
        <f>IF(L8=1,1,0)</f>
        <v>0</v>
      </c>
      <c r="N8" s="7">
        <f t="shared" si="1"/>
        <v>0</v>
      </c>
      <c r="O8" s="7">
        <f>IF('選定書'!$H$61*$O$3&gt;H8,1,0)</f>
        <v>1</v>
      </c>
      <c r="P8" s="7"/>
    </row>
    <row r="9" spans="2:16" ht="13.5">
      <c r="B9" s="6"/>
      <c r="C9" s="6"/>
      <c r="D9" s="6"/>
      <c r="E9" s="6"/>
      <c r="F9" s="31"/>
      <c r="G9" s="9"/>
      <c r="H9" s="1"/>
      <c r="I9" s="1"/>
      <c r="J9" s="1"/>
      <c r="K9" s="34"/>
      <c r="L9" s="7"/>
      <c r="M9" s="7"/>
      <c r="N9" s="7">
        <f>N8+M9</f>
        <v>0</v>
      </c>
      <c r="O9" s="7"/>
      <c r="P9" s="7"/>
    </row>
    <row r="10" spans="1:16" ht="13.5">
      <c r="A10" s="109">
        <v>15</v>
      </c>
      <c r="B10" s="6" t="s">
        <v>245</v>
      </c>
      <c r="C10" s="6" t="s">
        <v>225</v>
      </c>
      <c r="D10" s="6" t="s">
        <v>78</v>
      </c>
      <c r="E10" s="6" t="s">
        <v>99</v>
      </c>
      <c r="F10" s="31"/>
      <c r="G10" s="9"/>
      <c r="H10" s="1">
        <v>80</v>
      </c>
      <c r="I10" s="1">
        <v>50</v>
      </c>
      <c r="J10" s="1">
        <v>0.19</v>
      </c>
      <c r="K10" s="34">
        <f>IF(AND('選定書'!$H$61&lt;=H10,'選定書'!$H$51&lt;=I10,'選定書'!$N$38&lt;=J10,'選定書'!$N$45&lt;=J10),1,0)</f>
        <v>0</v>
      </c>
      <c r="L10" s="7">
        <f t="shared" si="0"/>
        <v>0</v>
      </c>
      <c r="M10" s="7">
        <f aca="true" t="shared" si="2" ref="M10:M15">IF(L10=1,1,0)</f>
        <v>0</v>
      </c>
      <c r="N10" s="7">
        <f>N9+M10</f>
        <v>0</v>
      </c>
      <c r="O10" s="7">
        <f>IF('選定書'!$H$61*$O$3&gt;H10,1,0)</f>
        <v>1</v>
      </c>
      <c r="P10" s="7"/>
    </row>
    <row r="11" spans="1:16" ht="13.5">
      <c r="A11" s="109">
        <v>16</v>
      </c>
      <c r="B11" s="6" t="s">
        <v>246</v>
      </c>
      <c r="C11" s="6" t="s">
        <v>226</v>
      </c>
      <c r="D11" s="6" t="s">
        <v>227</v>
      </c>
      <c r="E11" s="6" t="s">
        <v>99</v>
      </c>
      <c r="F11" s="31"/>
      <c r="G11" s="9"/>
      <c r="H11" s="1">
        <v>100</v>
      </c>
      <c r="I11" s="1">
        <v>63</v>
      </c>
      <c r="J11" s="1">
        <v>0.19</v>
      </c>
      <c r="K11" s="34">
        <f>IF(AND('選定書'!$H$61&lt;=H11,'選定書'!$H$51&lt;=I11,'選定書'!$N$38&lt;=J11,'選定書'!$N$45&lt;=J11),1,0)</f>
        <v>0</v>
      </c>
      <c r="L11" s="7">
        <f t="shared" si="0"/>
        <v>0</v>
      </c>
      <c r="M11" s="7">
        <f t="shared" si="2"/>
        <v>0</v>
      </c>
      <c r="N11" s="7">
        <f t="shared" si="1"/>
        <v>0</v>
      </c>
      <c r="O11" s="7">
        <f>IF('選定書'!$H$61*$O$3&gt;H11,1,0)</f>
        <v>1</v>
      </c>
      <c r="P11" s="7"/>
    </row>
    <row r="12" spans="1:16" ht="13.5">
      <c r="A12" s="109">
        <v>32</v>
      </c>
      <c r="B12" s="6" t="s">
        <v>247</v>
      </c>
      <c r="C12" s="6" t="s">
        <v>228</v>
      </c>
      <c r="D12" s="6" t="s">
        <v>79</v>
      </c>
      <c r="E12" s="6" t="s">
        <v>99</v>
      </c>
      <c r="F12" s="31"/>
      <c r="G12" s="9"/>
      <c r="H12" s="1">
        <v>150</v>
      </c>
      <c r="I12" s="1">
        <v>95</v>
      </c>
      <c r="J12" s="1">
        <v>0.19</v>
      </c>
      <c r="K12" s="34">
        <f>IF(AND('選定書'!$H$61&lt;=H12,'選定書'!$H$51&lt;=I12,'選定書'!$N$38&lt;=J12,'選定書'!$N$45&lt;=J12),1,0)</f>
        <v>0</v>
      </c>
      <c r="L12" s="7">
        <f t="shared" si="0"/>
        <v>0</v>
      </c>
      <c r="M12" s="7">
        <f t="shared" si="2"/>
        <v>0</v>
      </c>
      <c r="N12" s="7">
        <f t="shared" si="1"/>
        <v>0</v>
      </c>
      <c r="O12" s="7">
        <f>IF('選定書'!$H$61*$O$3&gt;H12,1,0)</f>
        <v>1</v>
      </c>
      <c r="P12" s="7"/>
    </row>
    <row r="13" spans="1:16" ht="13.5">
      <c r="A13" s="109">
        <v>43</v>
      </c>
      <c r="B13" s="6" t="s">
        <v>248</v>
      </c>
      <c r="C13" s="6" t="s">
        <v>229</v>
      </c>
      <c r="D13" s="6" t="s">
        <v>230</v>
      </c>
      <c r="E13" s="6" t="s">
        <v>99</v>
      </c>
      <c r="F13" s="31"/>
      <c r="G13" s="9"/>
      <c r="H13" s="1">
        <v>200</v>
      </c>
      <c r="I13" s="1">
        <v>126</v>
      </c>
      <c r="J13" s="1">
        <v>0.19</v>
      </c>
      <c r="K13" s="34">
        <f>IF(AND('選定書'!$H$61&lt;=H13,'選定書'!$H$51&lt;=I13,'選定書'!$N$38&lt;=J13,'選定書'!$N$45&lt;=J13),1,0)</f>
        <v>0</v>
      </c>
      <c r="L13" s="7">
        <f t="shared" si="0"/>
        <v>0</v>
      </c>
      <c r="M13" s="7">
        <f t="shared" si="2"/>
        <v>0</v>
      </c>
      <c r="N13" s="7">
        <f t="shared" si="1"/>
        <v>0</v>
      </c>
      <c r="O13" s="7">
        <f>IF('選定書'!$H$61*$O$3&gt;H13,1,0)</f>
        <v>1</v>
      </c>
      <c r="P13" s="7"/>
    </row>
    <row r="14" spans="1:16" ht="13.5">
      <c r="A14" s="109">
        <v>57</v>
      </c>
      <c r="B14" s="6" t="s">
        <v>249</v>
      </c>
      <c r="C14" s="6" t="s">
        <v>231</v>
      </c>
      <c r="D14" s="6" t="s">
        <v>80</v>
      </c>
      <c r="E14" s="6" t="s">
        <v>99</v>
      </c>
      <c r="F14" s="31"/>
      <c r="G14" s="9"/>
      <c r="H14" s="1">
        <v>300</v>
      </c>
      <c r="I14" s="1">
        <v>190</v>
      </c>
      <c r="J14" s="1">
        <v>0.19</v>
      </c>
      <c r="K14" s="34">
        <f>IF(AND('選定書'!$H$61&lt;=H14,'選定書'!$H$51&lt;=I14,'選定書'!$N$38&lt;=J14,'選定書'!$N$45&lt;=J14),1,0)</f>
        <v>0</v>
      </c>
      <c r="L14" s="7">
        <f t="shared" si="0"/>
        <v>0</v>
      </c>
      <c r="M14" s="7">
        <f t="shared" si="2"/>
        <v>0</v>
      </c>
      <c r="N14" s="7">
        <f t="shared" si="1"/>
        <v>0</v>
      </c>
      <c r="O14" s="7">
        <f>IF('選定書'!$H$61*$O$3&gt;H14,1,0)</f>
        <v>1</v>
      </c>
      <c r="P14" s="7"/>
    </row>
    <row r="15" spans="2:16" ht="13.5">
      <c r="B15" s="94" t="s">
        <v>250</v>
      </c>
      <c r="C15" s="94" t="s">
        <v>20</v>
      </c>
      <c r="D15" s="94" t="s">
        <v>81</v>
      </c>
      <c r="E15" s="94" t="s">
        <v>99</v>
      </c>
      <c r="F15" s="95"/>
      <c r="G15" s="9"/>
      <c r="H15" s="1">
        <v>500</v>
      </c>
      <c r="I15" s="1">
        <v>315</v>
      </c>
      <c r="J15" s="103"/>
      <c r="K15" s="34">
        <f>IF(AND('選定書'!$H$61&lt;=H15,'選定書'!$H$51&lt;=I15,'選定書'!$N$38&lt;=J15,'選定書'!$N$45&lt;=J15),1,0)</f>
        <v>0</v>
      </c>
      <c r="L15" s="7">
        <f t="shared" si="0"/>
        <v>0</v>
      </c>
      <c r="M15" s="7">
        <f t="shared" si="2"/>
        <v>0</v>
      </c>
      <c r="N15" s="7">
        <f t="shared" si="1"/>
        <v>0</v>
      </c>
      <c r="O15" s="7">
        <f>IF('選定書'!$H$61*$O$3&gt;H15,1,0)</f>
        <v>1</v>
      </c>
      <c r="P15" s="7"/>
    </row>
    <row r="16" spans="2:16" ht="13.5">
      <c r="B16" s="6"/>
      <c r="C16" s="6"/>
      <c r="D16" s="6"/>
      <c r="E16" s="6"/>
      <c r="F16" s="31"/>
      <c r="G16" s="9"/>
      <c r="H16" s="1"/>
      <c r="I16" s="1"/>
      <c r="J16" s="1"/>
      <c r="K16" s="34"/>
      <c r="L16" s="7"/>
      <c r="M16" s="7"/>
      <c r="N16" s="7">
        <f t="shared" si="1"/>
        <v>0</v>
      </c>
      <c r="O16" s="7"/>
      <c r="P16" s="7"/>
    </row>
    <row r="17" spans="2:16" ht="13.5">
      <c r="B17" s="102" t="s">
        <v>251</v>
      </c>
      <c r="C17" s="102" t="s">
        <v>151</v>
      </c>
      <c r="D17" s="102" t="s">
        <v>82</v>
      </c>
      <c r="E17" s="102" t="s">
        <v>147</v>
      </c>
      <c r="F17" s="105"/>
      <c r="G17" s="106"/>
      <c r="H17" s="1">
        <v>19</v>
      </c>
      <c r="I17" s="1">
        <v>12</v>
      </c>
      <c r="J17" s="103"/>
      <c r="K17" s="34">
        <f>IF(AND('選定書'!$H$61&lt;=H17,'選定書'!$H$51&lt;=I17,'選定書'!$N$38&lt;=J17,'選定書'!$N$45&lt;=J17),1,0)</f>
        <v>0</v>
      </c>
      <c r="L17" s="7">
        <f t="shared" si="0"/>
        <v>0</v>
      </c>
      <c r="M17" s="7">
        <f aca="true" t="shared" si="3" ref="M17:M27">IF(L17=1,1,0)</f>
        <v>0</v>
      </c>
      <c r="N17" s="7">
        <f t="shared" si="1"/>
        <v>0</v>
      </c>
      <c r="O17" s="7">
        <f>IF('選定書'!$H$61*$O$3&gt;H17,1,0)</f>
        <v>1</v>
      </c>
      <c r="P17" s="7"/>
    </row>
    <row r="18" spans="2:16" ht="13.5">
      <c r="B18" s="102" t="s">
        <v>252</v>
      </c>
      <c r="C18" s="102" t="s">
        <v>152</v>
      </c>
      <c r="D18" s="102" t="s">
        <v>83</v>
      </c>
      <c r="E18" s="102" t="s">
        <v>147</v>
      </c>
      <c r="F18" s="105"/>
      <c r="G18" s="106"/>
      <c r="H18" s="1">
        <v>30</v>
      </c>
      <c r="I18" s="1">
        <v>12</v>
      </c>
      <c r="J18" s="103"/>
      <c r="K18" s="34">
        <f>IF(AND('選定書'!$H$61&lt;=H18,'選定書'!$H$51&lt;=I18,'選定書'!$N$38&lt;=J18,'選定書'!$N$45&lt;=J18),1,0)</f>
        <v>0</v>
      </c>
      <c r="L18" s="7">
        <f t="shared" si="0"/>
        <v>0</v>
      </c>
      <c r="M18" s="7">
        <f t="shared" si="3"/>
        <v>0</v>
      </c>
      <c r="N18" s="7">
        <f t="shared" si="1"/>
        <v>0</v>
      </c>
      <c r="O18" s="7">
        <f>IF('選定書'!$H$61*$O$3&gt;H18,1,0)</f>
        <v>1</v>
      </c>
      <c r="P18" s="7"/>
    </row>
    <row r="19" spans="2:16" ht="13.5">
      <c r="B19" s="102" t="s">
        <v>253</v>
      </c>
      <c r="C19" s="102" t="s">
        <v>153</v>
      </c>
      <c r="D19" s="102" t="s">
        <v>232</v>
      </c>
      <c r="E19" s="102" t="s">
        <v>147</v>
      </c>
      <c r="F19" s="105"/>
      <c r="G19" s="106"/>
      <c r="H19" s="1">
        <v>56</v>
      </c>
      <c r="I19" s="1">
        <v>40</v>
      </c>
      <c r="J19" s="103"/>
      <c r="K19" s="34">
        <f>IF(AND('選定書'!$H$61&lt;=H19,'選定書'!$H$51&lt;=I19,'選定書'!$N$38&lt;=J19,'選定書'!$N$45&lt;=J19),1,0)</f>
        <v>0</v>
      </c>
      <c r="L19" s="7">
        <f t="shared" si="0"/>
        <v>0</v>
      </c>
      <c r="M19" s="7">
        <f t="shared" si="3"/>
        <v>0</v>
      </c>
      <c r="N19" s="7">
        <f t="shared" si="1"/>
        <v>0</v>
      </c>
      <c r="O19" s="7">
        <f>IF('選定書'!$H$61*$O$3&gt;H19,1,0)</f>
        <v>1</v>
      </c>
      <c r="P19" s="7"/>
    </row>
    <row r="20" spans="2:16" ht="13.5">
      <c r="B20" s="102" t="s">
        <v>254</v>
      </c>
      <c r="C20" s="102" t="s">
        <v>21</v>
      </c>
      <c r="D20" s="102" t="s">
        <v>233</v>
      </c>
      <c r="E20" s="102" t="s">
        <v>147</v>
      </c>
      <c r="F20" s="105"/>
      <c r="G20" s="106"/>
      <c r="H20" s="1">
        <v>90</v>
      </c>
      <c r="I20" s="1">
        <v>59</v>
      </c>
      <c r="J20" s="103"/>
      <c r="K20" s="34">
        <f>IF(AND('選定書'!$H$61&lt;=H20,'選定書'!$H$51&lt;=I20,'選定書'!$N$38&lt;=J20,'選定書'!$N$45&lt;=J20),1,0)</f>
        <v>0</v>
      </c>
      <c r="L20" s="7">
        <f t="shared" si="0"/>
        <v>0</v>
      </c>
      <c r="M20" s="7">
        <f t="shared" si="3"/>
        <v>0</v>
      </c>
      <c r="N20" s="7">
        <f t="shared" si="1"/>
        <v>0</v>
      </c>
      <c r="O20" s="7">
        <f>IF('選定書'!$H$61*$O$3&gt;H20,1,0)</f>
        <v>1</v>
      </c>
      <c r="P20" s="7"/>
    </row>
    <row r="21" spans="2:16" ht="13.5">
      <c r="B21" s="102" t="s">
        <v>255</v>
      </c>
      <c r="C21" s="102" t="s">
        <v>154</v>
      </c>
      <c r="D21" s="102" t="s">
        <v>234</v>
      </c>
      <c r="E21" s="102" t="s">
        <v>147</v>
      </c>
      <c r="F21" s="105"/>
      <c r="G21" s="106"/>
      <c r="H21" s="1">
        <v>99</v>
      </c>
      <c r="I21" s="1">
        <v>59</v>
      </c>
      <c r="J21" s="103"/>
      <c r="K21" s="34">
        <f>IF(AND('選定書'!$H$61&lt;=H21,'選定書'!$H$51&lt;=I21,'選定書'!$N$38&lt;=J21,'選定書'!$N$45&lt;=J21),1,0)</f>
        <v>0</v>
      </c>
      <c r="L21" s="7">
        <f t="shared" si="0"/>
        <v>0</v>
      </c>
      <c r="M21" s="7">
        <f t="shared" si="3"/>
        <v>0</v>
      </c>
      <c r="N21" s="7">
        <f t="shared" si="1"/>
        <v>0</v>
      </c>
      <c r="O21" s="7">
        <f>IF('選定書'!$H$61*$O$3&gt;H21,1,0)</f>
        <v>1</v>
      </c>
      <c r="P21" s="7"/>
    </row>
    <row r="22" spans="2:16" ht="13.5">
      <c r="B22" s="102" t="s">
        <v>256</v>
      </c>
      <c r="C22" s="102" t="s">
        <v>155</v>
      </c>
      <c r="D22" s="102" t="s">
        <v>235</v>
      </c>
      <c r="E22" s="102" t="s">
        <v>147</v>
      </c>
      <c r="F22" s="105"/>
      <c r="G22" s="106"/>
      <c r="H22" s="1">
        <v>133</v>
      </c>
      <c r="I22" s="1">
        <v>59</v>
      </c>
      <c r="J22" s="103"/>
      <c r="K22" s="34">
        <f>IF(AND('選定書'!$H$61&lt;=H22,'選定書'!$H$51&lt;=I22,'選定書'!$N$38&lt;=J22,'選定書'!$N$45&lt;=J22),1,0)</f>
        <v>0</v>
      </c>
      <c r="L22" s="7">
        <f t="shared" si="0"/>
        <v>0</v>
      </c>
      <c r="M22" s="7">
        <f t="shared" si="3"/>
        <v>0</v>
      </c>
      <c r="N22" s="7">
        <f t="shared" si="1"/>
        <v>0</v>
      </c>
      <c r="O22" s="7">
        <f>IF('選定書'!$H$61*$O$3&gt;H22,1,0)</f>
        <v>1</v>
      </c>
      <c r="P22" s="7"/>
    </row>
    <row r="23" spans="1:16" ht="13.5">
      <c r="A23" s="109">
        <v>74</v>
      </c>
      <c r="B23" s="6" t="s">
        <v>257</v>
      </c>
      <c r="C23" s="6" t="s">
        <v>156</v>
      </c>
      <c r="D23" s="6" t="s">
        <v>217</v>
      </c>
      <c r="E23" s="6" t="s">
        <v>146</v>
      </c>
      <c r="F23" s="107"/>
      <c r="G23" s="111" t="s">
        <v>219</v>
      </c>
      <c r="H23" s="1">
        <v>170</v>
      </c>
      <c r="I23" s="1">
        <v>136</v>
      </c>
      <c r="J23" s="1">
        <v>0.6</v>
      </c>
      <c r="K23" s="34">
        <f>IF(AND('選定書'!$H$61&lt;=H23,'選定書'!$H$51&lt;=I23,'選定書'!$N$38&lt;=J23,'選定書'!$N$45&lt;=J23),1,0)</f>
        <v>1</v>
      </c>
      <c r="L23" s="7">
        <f t="shared" si="0"/>
        <v>1</v>
      </c>
      <c r="M23" s="7">
        <f t="shared" si="3"/>
        <v>1</v>
      </c>
      <c r="N23" s="7">
        <f t="shared" si="1"/>
        <v>1</v>
      </c>
      <c r="O23" s="7">
        <f>IF('選定書'!$H$61*$O$3&gt;H23,1,0)</f>
        <v>1</v>
      </c>
      <c r="P23" s="7"/>
    </row>
    <row r="24" spans="1:16" ht="13.5">
      <c r="A24" s="109">
        <v>90</v>
      </c>
      <c r="B24" s="6" t="s">
        <v>258</v>
      </c>
      <c r="C24" s="6" t="s">
        <v>157</v>
      </c>
      <c r="D24" s="6" t="s">
        <v>302</v>
      </c>
      <c r="E24" s="6" t="s">
        <v>146</v>
      </c>
      <c r="F24" s="107"/>
      <c r="G24" s="111" t="s">
        <v>219</v>
      </c>
      <c r="H24" s="1">
        <v>220</v>
      </c>
      <c r="I24" s="1">
        <v>181</v>
      </c>
      <c r="J24" s="1">
        <v>0.6</v>
      </c>
      <c r="K24" s="34">
        <f>IF(AND('選定書'!$H$61&lt;=H24,'選定書'!$H$51&lt;=I24,'選定書'!$N$38&lt;=J24,'選定書'!$N$45&lt;=J24),1,0)</f>
        <v>1</v>
      </c>
      <c r="L24" s="7">
        <f t="shared" si="0"/>
        <v>2</v>
      </c>
      <c r="M24" s="7">
        <f t="shared" si="3"/>
        <v>0</v>
      </c>
      <c r="N24" s="7">
        <f t="shared" si="1"/>
        <v>1</v>
      </c>
      <c r="O24" s="7">
        <f>IF('選定書'!$H$61*$O$3&gt;H24,1,0)</f>
        <v>1</v>
      </c>
      <c r="P24" s="7"/>
    </row>
    <row r="25" spans="1:16" ht="13.5">
      <c r="A25" s="109">
        <v>118</v>
      </c>
      <c r="B25" s="6" t="s">
        <v>259</v>
      </c>
      <c r="C25" s="6" t="s">
        <v>158</v>
      </c>
      <c r="D25" s="6" t="s">
        <v>303</v>
      </c>
      <c r="E25" s="6" t="s">
        <v>146</v>
      </c>
      <c r="F25" s="107"/>
      <c r="G25" s="111" t="s">
        <v>219</v>
      </c>
      <c r="H25" s="1">
        <v>290</v>
      </c>
      <c r="I25" s="1">
        <v>236</v>
      </c>
      <c r="J25" s="1">
        <v>0.6</v>
      </c>
      <c r="K25" s="34">
        <f>IF(AND('選定書'!$H$61&lt;=H25,'選定書'!$H$51&lt;=I25,'選定書'!$N$38&lt;=J25,'選定書'!$N$45&lt;=J25),1,0)</f>
        <v>1</v>
      </c>
      <c r="L25" s="7">
        <f t="shared" si="0"/>
        <v>3</v>
      </c>
      <c r="M25" s="7">
        <f t="shared" si="3"/>
        <v>0</v>
      </c>
      <c r="N25" s="7">
        <f t="shared" si="1"/>
        <v>1</v>
      </c>
      <c r="O25" s="7">
        <f>IF('選定書'!$H$61*$O$3&gt;H25,1,0)</f>
        <v>1</v>
      </c>
      <c r="P25" s="7"/>
    </row>
    <row r="26" spans="1:16" ht="13.5">
      <c r="A26" s="109">
        <v>124</v>
      </c>
      <c r="B26" s="6" t="s">
        <v>260</v>
      </c>
      <c r="C26" s="6" t="s">
        <v>159</v>
      </c>
      <c r="D26" s="6" t="s">
        <v>304</v>
      </c>
      <c r="E26" s="6" t="s">
        <v>146</v>
      </c>
      <c r="F26" s="107"/>
      <c r="G26" s="111" t="s">
        <v>219</v>
      </c>
      <c r="H26" s="1">
        <v>320</v>
      </c>
      <c r="I26" s="1">
        <v>250</v>
      </c>
      <c r="J26" s="1">
        <v>0.6</v>
      </c>
      <c r="K26" s="34">
        <f>IF(AND('選定書'!$H$61&lt;=H26,'選定書'!$H$51&lt;=I26,'選定書'!$N$38&lt;=J26,'選定書'!$N$45&lt;=J26),1,0)</f>
        <v>1</v>
      </c>
      <c r="L26" s="7">
        <f t="shared" si="0"/>
        <v>4</v>
      </c>
      <c r="M26" s="7">
        <f t="shared" si="3"/>
        <v>0</v>
      </c>
      <c r="N26" s="7">
        <f t="shared" si="1"/>
        <v>1</v>
      </c>
      <c r="O26" s="7">
        <f>IF('選定書'!$H$61*$O$3&gt;H26,1,0)</f>
        <v>1</v>
      </c>
      <c r="P26" s="7"/>
    </row>
    <row r="27" spans="1:16" ht="13.5">
      <c r="A27" s="109">
        <v>144</v>
      </c>
      <c r="B27" s="6" t="s">
        <v>261</v>
      </c>
      <c r="C27" s="6" t="s">
        <v>160</v>
      </c>
      <c r="D27" s="6" t="s">
        <v>305</v>
      </c>
      <c r="E27" s="6" t="s">
        <v>146</v>
      </c>
      <c r="F27" s="107"/>
      <c r="G27" s="111" t="s">
        <v>219</v>
      </c>
      <c r="H27" s="1">
        <v>340</v>
      </c>
      <c r="I27" s="1">
        <v>270</v>
      </c>
      <c r="J27" s="1">
        <v>0.6</v>
      </c>
      <c r="K27" s="34">
        <f>IF(AND('選定書'!$H$61&lt;=H27,'選定書'!$H$51&lt;=I27,'選定書'!$N$38&lt;=J27,'選定書'!$N$45&lt;=J27),1,0)</f>
        <v>1</v>
      </c>
      <c r="L27" s="7">
        <f t="shared" si="0"/>
        <v>5</v>
      </c>
      <c r="M27" s="7">
        <f t="shared" si="3"/>
        <v>0</v>
      </c>
      <c r="N27" s="7">
        <f t="shared" si="1"/>
        <v>1</v>
      </c>
      <c r="O27" s="7">
        <f>IF('選定書'!$H$61*$O$3&gt;H27,1,0)</f>
        <v>1</v>
      </c>
      <c r="P27" s="7"/>
    </row>
    <row r="28" spans="2:16" ht="13.5">
      <c r="B28" s="6"/>
      <c r="C28" s="6"/>
      <c r="D28" s="6"/>
      <c r="E28" s="6"/>
      <c r="F28" s="31"/>
      <c r="G28" s="112"/>
      <c r="H28" s="1"/>
      <c r="I28" s="1"/>
      <c r="J28" s="1"/>
      <c r="K28" s="34"/>
      <c r="L28" s="7"/>
      <c r="M28" s="7"/>
      <c r="N28" s="7">
        <f t="shared" si="1"/>
        <v>1</v>
      </c>
      <c r="O28" s="7"/>
      <c r="P28" s="7"/>
    </row>
    <row r="29" spans="1:16" ht="13.5">
      <c r="A29" s="109">
        <v>40</v>
      </c>
      <c r="B29" s="6" t="s">
        <v>262</v>
      </c>
      <c r="C29" s="6" t="s">
        <v>161</v>
      </c>
      <c r="D29" s="6" t="s">
        <v>137</v>
      </c>
      <c r="E29" s="6" t="s">
        <v>147</v>
      </c>
      <c r="F29" s="107"/>
      <c r="G29" s="111"/>
      <c r="H29" s="1">
        <v>60</v>
      </c>
      <c r="I29" s="1">
        <v>48</v>
      </c>
      <c r="J29" s="98">
        <v>0.8</v>
      </c>
      <c r="K29" s="34">
        <f>IF(AND('選定書'!$H$61&lt;=H29,'選定書'!$H$51&lt;=I29,'選定書'!$N$38&lt;=J29,'選定書'!$N$45&lt;=J29),1,0)</f>
        <v>0</v>
      </c>
      <c r="L29" s="7">
        <f>IF(K29&lt;&gt;0,L28+K29,0)</f>
        <v>0</v>
      </c>
      <c r="M29" s="7">
        <f>IF(L29=1,1,0)</f>
        <v>0</v>
      </c>
      <c r="N29" s="7">
        <f t="shared" si="1"/>
        <v>1</v>
      </c>
      <c r="O29" s="7">
        <f>IF('選定書'!$H$61*$O$3&gt;H29,1,0)</f>
        <v>1</v>
      </c>
      <c r="P29" s="7"/>
    </row>
    <row r="30" spans="1:16" ht="13.5">
      <c r="A30" s="109">
        <v>50</v>
      </c>
      <c r="B30" s="6" t="s">
        <v>263</v>
      </c>
      <c r="C30" s="6" t="s">
        <v>162</v>
      </c>
      <c r="D30" s="6" t="s">
        <v>138</v>
      </c>
      <c r="E30" s="6" t="s">
        <v>147</v>
      </c>
      <c r="F30" s="107"/>
      <c r="G30" s="111"/>
      <c r="H30" s="1">
        <v>80</v>
      </c>
      <c r="I30" s="1">
        <v>64</v>
      </c>
      <c r="J30" s="98">
        <v>0.8</v>
      </c>
      <c r="K30" s="34">
        <f>IF(AND('選定書'!$H$61&lt;=H30,'選定書'!$H$51&lt;=I30,'選定書'!$N$38&lt;=J30,'選定書'!$N$45&lt;=J30),1,0)</f>
        <v>0</v>
      </c>
      <c r="L30" s="7">
        <f aca="true" t="shared" si="4" ref="L30:L45">IF(K30&lt;&gt;0,L29+K30,0)</f>
        <v>0</v>
      </c>
      <c r="M30" s="7">
        <f aca="true" t="shared" si="5" ref="M30:M45">IF(L30=1,1,0)</f>
        <v>0</v>
      </c>
      <c r="N30" s="7">
        <f aca="true" t="shared" si="6" ref="N30:N45">N29+M30</f>
        <v>1</v>
      </c>
      <c r="O30" s="7">
        <f>IF('選定書'!$H$61*$O$3&gt;H30,1,0)</f>
        <v>1</v>
      </c>
      <c r="P30" s="7"/>
    </row>
    <row r="31" spans="1:16" ht="13.5">
      <c r="A31" s="109">
        <v>60</v>
      </c>
      <c r="B31" s="6" t="s">
        <v>264</v>
      </c>
      <c r="C31" s="6" t="s">
        <v>163</v>
      </c>
      <c r="D31" s="6" t="s">
        <v>164</v>
      </c>
      <c r="E31" s="6" t="s">
        <v>147</v>
      </c>
      <c r="F31" s="107"/>
      <c r="G31" s="111"/>
      <c r="H31" s="1">
        <v>109</v>
      </c>
      <c r="I31" s="1">
        <v>87</v>
      </c>
      <c r="J31" s="98">
        <v>0.8</v>
      </c>
      <c r="K31" s="34">
        <f>IF(AND('選定書'!$H$61&lt;=H31,'選定書'!$H$51&lt;=I31,'選定書'!$N$38&lt;=J31,'選定書'!$N$45&lt;=J31),1,0)</f>
        <v>0</v>
      </c>
      <c r="L31" s="7">
        <f t="shared" si="4"/>
        <v>0</v>
      </c>
      <c r="M31" s="7">
        <f t="shared" si="5"/>
        <v>0</v>
      </c>
      <c r="N31" s="7">
        <f t="shared" si="6"/>
        <v>1</v>
      </c>
      <c r="O31" s="7">
        <f>IF('選定書'!$H$61*$O$3&gt;H31,1,0)</f>
        <v>1</v>
      </c>
      <c r="P31" s="7"/>
    </row>
    <row r="32" spans="1:16" ht="13.5">
      <c r="A32" s="109">
        <v>105</v>
      </c>
      <c r="B32" s="6" t="s">
        <v>265</v>
      </c>
      <c r="C32" s="6" t="s">
        <v>165</v>
      </c>
      <c r="D32" s="6" t="s">
        <v>218</v>
      </c>
      <c r="E32" s="6" t="s">
        <v>147</v>
      </c>
      <c r="F32" s="107"/>
      <c r="G32" s="111" t="s">
        <v>219</v>
      </c>
      <c r="H32" s="1">
        <v>220</v>
      </c>
      <c r="I32" s="1">
        <v>176</v>
      </c>
      <c r="J32" s="98">
        <v>0.8</v>
      </c>
      <c r="K32" s="34">
        <f>IF(AND('選定書'!$H$61&lt;=H32,'選定書'!$H$51&lt;=I32,'選定書'!$N$38&lt;=J32,'選定書'!$N$45&lt;=J32),1,0)</f>
        <v>1</v>
      </c>
      <c r="L32" s="7">
        <f t="shared" si="4"/>
        <v>1</v>
      </c>
      <c r="M32" s="7">
        <f t="shared" si="5"/>
        <v>1</v>
      </c>
      <c r="N32" s="7">
        <f t="shared" si="6"/>
        <v>2</v>
      </c>
      <c r="O32" s="7">
        <f>IF('選定書'!$H$61*$O$3&gt;H32,1,0)</f>
        <v>1</v>
      </c>
      <c r="P32" s="7"/>
    </row>
    <row r="33" spans="1:16" ht="13.5">
      <c r="A33" s="109">
        <v>130</v>
      </c>
      <c r="B33" s="6" t="s">
        <v>266</v>
      </c>
      <c r="C33" s="6" t="s">
        <v>166</v>
      </c>
      <c r="D33" s="6" t="s">
        <v>220</v>
      </c>
      <c r="E33" s="6" t="s">
        <v>147</v>
      </c>
      <c r="F33" s="107"/>
      <c r="G33" s="111" t="s">
        <v>219</v>
      </c>
      <c r="H33" s="1">
        <v>300</v>
      </c>
      <c r="I33" s="1">
        <v>246</v>
      </c>
      <c r="J33" s="98">
        <v>0.8</v>
      </c>
      <c r="K33" s="34">
        <f>IF(AND('選定書'!$H$61&lt;=H33,'選定書'!$H$51&lt;=I33,'選定書'!$N$38&lt;=J33,'選定書'!$N$45&lt;=J33),1,0)</f>
        <v>1</v>
      </c>
      <c r="L33" s="7">
        <f t="shared" si="4"/>
        <v>2</v>
      </c>
      <c r="M33" s="7">
        <f t="shared" si="5"/>
        <v>0</v>
      </c>
      <c r="N33" s="7">
        <f t="shared" si="6"/>
        <v>2</v>
      </c>
      <c r="O33" s="7">
        <f>IF('選定書'!$H$61*$O$3&gt;H33,1,0)</f>
        <v>1</v>
      </c>
      <c r="P33" s="7"/>
    </row>
    <row r="34" spans="1:16" ht="13.5">
      <c r="A34" s="109">
        <v>166</v>
      </c>
      <c r="B34" s="6" t="s">
        <v>267</v>
      </c>
      <c r="C34" s="6" t="s">
        <v>167</v>
      </c>
      <c r="D34" s="6" t="s">
        <v>85</v>
      </c>
      <c r="E34" s="6" t="s">
        <v>147</v>
      </c>
      <c r="F34" s="107"/>
      <c r="G34" s="111" t="s">
        <v>219</v>
      </c>
      <c r="H34" s="1">
        <v>400</v>
      </c>
      <c r="I34" s="1">
        <v>320</v>
      </c>
      <c r="J34" s="98">
        <v>0.8</v>
      </c>
      <c r="K34" s="34">
        <f>IF(AND('選定書'!$H$61&lt;=H34,'選定書'!$H$51&lt;=I34,'選定書'!$N$38&lt;=J34,'選定書'!$N$45&lt;=J34),1,0)</f>
        <v>1</v>
      </c>
      <c r="L34" s="7">
        <f t="shared" si="4"/>
        <v>3</v>
      </c>
      <c r="M34" s="7">
        <f t="shared" si="5"/>
        <v>0</v>
      </c>
      <c r="N34" s="7">
        <f t="shared" si="6"/>
        <v>2</v>
      </c>
      <c r="O34" s="7">
        <f>IF('選定書'!$H$61*$O$3&gt;H34,1,0)</f>
        <v>1</v>
      </c>
      <c r="P34" s="7"/>
    </row>
    <row r="35" spans="1:16" ht="13.5">
      <c r="A35" s="109">
        <v>203</v>
      </c>
      <c r="B35" s="6" t="s">
        <v>268</v>
      </c>
      <c r="C35" s="6" t="s">
        <v>168</v>
      </c>
      <c r="D35" s="6" t="s">
        <v>221</v>
      </c>
      <c r="E35" s="6" t="s">
        <v>147</v>
      </c>
      <c r="F35" s="107"/>
      <c r="G35" s="111" t="s">
        <v>219</v>
      </c>
      <c r="H35" s="1">
        <v>500</v>
      </c>
      <c r="I35" s="1">
        <v>401</v>
      </c>
      <c r="J35" s="98">
        <v>0.8</v>
      </c>
      <c r="K35" s="34">
        <f>IF(AND('選定書'!$H$61&lt;=H35,'選定書'!$H$51&lt;=I35,'選定書'!$N$38&lt;=J35,'選定書'!$N$45&lt;=J35),1,0)</f>
        <v>1</v>
      </c>
      <c r="L35" s="7">
        <f t="shared" si="4"/>
        <v>4</v>
      </c>
      <c r="M35" s="7">
        <f t="shared" si="5"/>
        <v>0</v>
      </c>
      <c r="N35" s="7">
        <f t="shared" si="6"/>
        <v>2</v>
      </c>
      <c r="O35" s="7">
        <f>IF('選定書'!$H$61*$O$3&gt;H35,1,0)</f>
        <v>1</v>
      </c>
      <c r="P35" s="7"/>
    </row>
    <row r="36" spans="1:16" ht="13.5">
      <c r="A36" s="109">
        <v>230</v>
      </c>
      <c r="B36" s="6" t="s">
        <v>269</v>
      </c>
      <c r="C36" s="6" t="s">
        <v>169</v>
      </c>
      <c r="D36" s="6" t="s">
        <v>87</v>
      </c>
      <c r="E36" s="6" t="s">
        <v>147</v>
      </c>
      <c r="F36" s="107"/>
      <c r="G36" s="111" t="s">
        <v>219</v>
      </c>
      <c r="H36" s="1">
        <v>600</v>
      </c>
      <c r="I36" s="1">
        <v>480</v>
      </c>
      <c r="J36" s="98">
        <v>0.8</v>
      </c>
      <c r="K36" s="34">
        <f>IF(AND('選定書'!$H$61&lt;=H36,'選定書'!$H$51&lt;=I36,'選定書'!$N$38&lt;=J36,'選定書'!$N$45&lt;=J36),1,0)</f>
        <v>1</v>
      </c>
      <c r="L36" s="7">
        <f t="shared" si="4"/>
        <v>5</v>
      </c>
      <c r="M36" s="7">
        <f t="shared" si="5"/>
        <v>0</v>
      </c>
      <c r="N36" s="7">
        <f t="shared" si="6"/>
        <v>2</v>
      </c>
      <c r="O36" s="7">
        <f>IF('選定書'!$H$61*$O$3&gt;H36,1,0)</f>
        <v>1</v>
      </c>
      <c r="P36" s="7"/>
    </row>
    <row r="37" spans="1:16" ht="13.5">
      <c r="A37" s="109">
        <v>290</v>
      </c>
      <c r="B37" s="6" t="s">
        <v>270</v>
      </c>
      <c r="C37" s="6" t="s">
        <v>170</v>
      </c>
      <c r="D37" s="6" t="s">
        <v>88</v>
      </c>
      <c r="E37" s="6" t="s">
        <v>147</v>
      </c>
      <c r="F37" s="107"/>
      <c r="G37" s="111" t="s">
        <v>219</v>
      </c>
      <c r="H37" s="1">
        <v>800</v>
      </c>
      <c r="I37" s="1">
        <v>640</v>
      </c>
      <c r="J37" s="98">
        <v>0.8</v>
      </c>
      <c r="K37" s="34">
        <f>IF(AND('選定書'!$H$61&lt;=H37,'選定書'!$H$51&lt;=I37,'選定書'!$N$38&lt;=J37,'選定書'!$N$45&lt;=J37),1,0)</f>
        <v>1</v>
      </c>
      <c r="L37" s="7">
        <f t="shared" si="4"/>
        <v>6</v>
      </c>
      <c r="M37" s="7">
        <f t="shared" si="5"/>
        <v>0</v>
      </c>
      <c r="N37" s="7">
        <f t="shared" si="6"/>
        <v>2</v>
      </c>
      <c r="O37" s="7">
        <f>IF('選定書'!$H$61*$O$3&gt;H37,1,0)</f>
        <v>1</v>
      </c>
      <c r="P37" s="7"/>
    </row>
    <row r="38" spans="1:16" ht="13.5">
      <c r="A38" s="109">
        <v>460</v>
      </c>
      <c r="B38" s="6" t="s">
        <v>271</v>
      </c>
      <c r="C38" s="6" t="s">
        <v>171</v>
      </c>
      <c r="D38" s="6" t="s">
        <v>89</v>
      </c>
      <c r="E38" s="6" t="s">
        <v>147</v>
      </c>
      <c r="F38" s="107"/>
      <c r="G38" s="106"/>
      <c r="H38" s="1">
        <v>1000</v>
      </c>
      <c r="I38" s="1">
        <v>800</v>
      </c>
      <c r="J38" s="98">
        <v>0.8</v>
      </c>
      <c r="K38" s="34">
        <f>IF(AND('選定書'!$H$61&lt;=H38,'選定書'!$H$51&lt;=I38,'選定書'!$N$38&lt;=J38,'選定書'!$N$45&lt;=J38),1,0)</f>
        <v>1</v>
      </c>
      <c r="L38" s="7">
        <f t="shared" si="4"/>
        <v>7</v>
      </c>
      <c r="M38" s="7">
        <f t="shared" si="5"/>
        <v>0</v>
      </c>
      <c r="N38" s="7">
        <f t="shared" si="6"/>
        <v>2</v>
      </c>
      <c r="O38" s="7">
        <f>IF('選定書'!$H$61*$O$3&gt;H38,1,0)</f>
        <v>1</v>
      </c>
      <c r="P38" s="7"/>
    </row>
    <row r="39" spans="1:16" ht="13.5">
      <c r="A39" s="109">
        <v>520</v>
      </c>
      <c r="B39" s="6" t="s">
        <v>272</v>
      </c>
      <c r="C39" s="6" t="s">
        <v>172</v>
      </c>
      <c r="D39" s="6" t="s">
        <v>90</v>
      </c>
      <c r="E39" s="6" t="s">
        <v>147</v>
      </c>
      <c r="F39" s="107"/>
      <c r="G39" s="106"/>
      <c r="H39" s="1">
        <v>1200</v>
      </c>
      <c r="I39" s="1">
        <v>960</v>
      </c>
      <c r="J39" s="98">
        <v>0.8</v>
      </c>
      <c r="K39" s="34">
        <f>IF(AND('選定書'!$H$61&lt;=H39,'選定書'!$H$51&lt;=I39,'選定書'!$N$38&lt;=J39,'選定書'!$N$45&lt;=J39),1,0)</f>
        <v>1</v>
      </c>
      <c r="L39" s="7">
        <f t="shared" si="4"/>
        <v>8</v>
      </c>
      <c r="M39" s="7">
        <f t="shared" si="5"/>
        <v>0</v>
      </c>
      <c r="N39" s="7">
        <f t="shared" si="6"/>
        <v>2</v>
      </c>
      <c r="O39" s="7">
        <f>IF('選定書'!$H$61*$O$3&gt;H39,1,0)</f>
        <v>1</v>
      </c>
      <c r="P39" s="7"/>
    </row>
    <row r="40" spans="1:16" ht="13.5">
      <c r="A40" s="109">
        <v>580</v>
      </c>
      <c r="B40" s="6" t="s">
        <v>273</v>
      </c>
      <c r="C40" s="6" t="s">
        <v>173</v>
      </c>
      <c r="D40" s="6" t="s">
        <v>91</v>
      </c>
      <c r="E40" s="6" t="s">
        <v>147</v>
      </c>
      <c r="F40" s="107"/>
      <c r="G40" s="106"/>
      <c r="H40" s="1">
        <v>1400</v>
      </c>
      <c r="I40" s="1">
        <v>1120</v>
      </c>
      <c r="J40" s="98">
        <v>0.8</v>
      </c>
      <c r="K40" s="34">
        <f>IF(AND('選定書'!$H$61&lt;=H40,'選定書'!$H$51&lt;=I40,'選定書'!$N$38&lt;=J40,'選定書'!$N$45&lt;=J40),1,0)</f>
        <v>1</v>
      </c>
      <c r="L40" s="7">
        <f t="shared" si="4"/>
        <v>9</v>
      </c>
      <c r="M40" s="7">
        <f t="shared" si="5"/>
        <v>0</v>
      </c>
      <c r="N40" s="7">
        <f t="shared" si="6"/>
        <v>2</v>
      </c>
      <c r="O40" s="7">
        <f>IF('選定書'!$H$61*$O$3&gt;H40,1,0)</f>
        <v>1</v>
      </c>
      <c r="P40" s="7"/>
    </row>
    <row r="41" spans="1:16" ht="13.5">
      <c r="A41" s="109">
        <v>860</v>
      </c>
      <c r="B41" s="6" t="s">
        <v>274</v>
      </c>
      <c r="C41" s="6" t="s">
        <v>174</v>
      </c>
      <c r="D41" s="6" t="s">
        <v>92</v>
      </c>
      <c r="E41" s="6" t="s">
        <v>147</v>
      </c>
      <c r="F41" s="107"/>
      <c r="G41" s="106"/>
      <c r="H41" s="1">
        <v>1600</v>
      </c>
      <c r="I41" s="1">
        <v>1280</v>
      </c>
      <c r="J41" s="98">
        <v>0.8</v>
      </c>
      <c r="K41" s="34">
        <f>IF(AND('選定書'!$H$61&lt;=H41,'選定書'!$H$51&lt;=I41,'選定書'!$N$38&lt;=J41,'選定書'!$N$45&lt;=J41),1,0)</f>
        <v>1</v>
      </c>
      <c r="L41" s="7">
        <f t="shared" si="4"/>
        <v>10</v>
      </c>
      <c r="M41" s="7">
        <f t="shared" si="5"/>
        <v>0</v>
      </c>
      <c r="N41" s="7">
        <f t="shared" si="6"/>
        <v>2</v>
      </c>
      <c r="O41" s="7">
        <f>IF('選定書'!$H$61*$O$3&gt;H41,1,0)</f>
        <v>1</v>
      </c>
      <c r="P41" s="7"/>
    </row>
    <row r="42" spans="1:16" ht="13.5">
      <c r="A42" s="109">
        <v>990</v>
      </c>
      <c r="B42" s="6" t="s">
        <v>275</v>
      </c>
      <c r="C42" s="6" t="s">
        <v>175</v>
      </c>
      <c r="D42" s="6" t="s">
        <v>93</v>
      </c>
      <c r="E42" s="6" t="s">
        <v>147</v>
      </c>
      <c r="F42" s="107"/>
      <c r="G42" s="106"/>
      <c r="H42" s="1">
        <v>2000</v>
      </c>
      <c r="I42" s="1">
        <v>1600</v>
      </c>
      <c r="J42" s="98">
        <v>0.8</v>
      </c>
      <c r="K42" s="34">
        <f>IF(AND('選定書'!$H$61&lt;=H42,'選定書'!$H$51&lt;=I42,'選定書'!$N$38&lt;=J42,'選定書'!$N$45&lt;=J42),1,0)</f>
        <v>1</v>
      </c>
      <c r="L42" s="7">
        <f t="shared" si="4"/>
        <v>11</v>
      </c>
      <c r="M42" s="7">
        <f t="shared" si="5"/>
        <v>0</v>
      </c>
      <c r="N42" s="7">
        <f t="shared" si="6"/>
        <v>2</v>
      </c>
      <c r="O42" s="7">
        <f>IF('選定書'!$H$61*$O$3&gt;H42,1,0)</f>
        <v>1</v>
      </c>
      <c r="P42" s="7"/>
    </row>
    <row r="43" spans="1:16" ht="13.5">
      <c r="A43" s="109">
        <v>1380</v>
      </c>
      <c r="B43" s="6" t="s">
        <v>276</v>
      </c>
      <c r="C43" s="6" t="s">
        <v>176</v>
      </c>
      <c r="D43" s="6" t="s">
        <v>222</v>
      </c>
      <c r="E43" s="6" t="s">
        <v>147</v>
      </c>
      <c r="F43" s="107"/>
      <c r="G43" s="106"/>
      <c r="H43" s="1">
        <v>3010</v>
      </c>
      <c r="I43" s="1">
        <v>2400</v>
      </c>
      <c r="J43" s="98">
        <v>0.8</v>
      </c>
      <c r="K43" s="34">
        <f>IF(AND('選定書'!$H$61&lt;=H43,'選定書'!$H$51&lt;=I43,'選定書'!$N$38&lt;=J43,'選定書'!$N$45&lt;=J43),1,0)</f>
        <v>1</v>
      </c>
      <c r="L43" s="7">
        <f t="shared" si="4"/>
        <v>12</v>
      </c>
      <c r="M43" s="7">
        <f t="shared" si="5"/>
        <v>0</v>
      </c>
      <c r="N43" s="7">
        <f t="shared" si="6"/>
        <v>2</v>
      </c>
      <c r="O43" s="7">
        <f>IF('選定書'!$H$61*$O$3&gt;H43,1,0)</f>
        <v>1</v>
      </c>
      <c r="P43" s="7"/>
    </row>
    <row r="44" spans="1:16" ht="13.5">
      <c r="A44" s="109">
        <v>1520</v>
      </c>
      <c r="B44" s="6" t="s">
        <v>277</v>
      </c>
      <c r="C44" s="6" t="s">
        <v>177</v>
      </c>
      <c r="D44" s="6" t="s">
        <v>135</v>
      </c>
      <c r="E44" s="6" t="s">
        <v>147</v>
      </c>
      <c r="F44" s="107"/>
      <c r="G44" s="106"/>
      <c r="H44" s="1">
        <v>4000</v>
      </c>
      <c r="I44" s="1">
        <v>3200</v>
      </c>
      <c r="J44" s="98">
        <v>0.8</v>
      </c>
      <c r="K44" s="34">
        <f>IF(AND('選定書'!$H$61&lt;=H44,'選定書'!$H$51&lt;=I44,'選定書'!$N$38&lt;=J44,'選定書'!$N$45&lt;=J44),1,0)</f>
        <v>1</v>
      </c>
      <c r="L44" s="7">
        <f t="shared" si="4"/>
        <v>13</v>
      </c>
      <c r="M44" s="7">
        <f t="shared" si="5"/>
        <v>0</v>
      </c>
      <c r="N44" s="7">
        <f t="shared" si="6"/>
        <v>2</v>
      </c>
      <c r="O44" s="7">
        <f>IF('選定書'!$H$61*$O$3&gt;H44,1,0)</f>
        <v>1</v>
      </c>
      <c r="P44" s="7"/>
    </row>
    <row r="45" spans="1:16" ht="13.5">
      <c r="A45" s="109">
        <v>1790</v>
      </c>
      <c r="B45" s="6" t="s">
        <v>278</v>
      </c>
      <c r="C45" s="6" t="s">
        <v>178</v>
      </c>
      <c r="D45" s="6" t="s">
        <v>223</v>
      </c>
      <c r="E45" s="6" t="s">
        <v>147</v>
      </c>
      <c r="F45" s="107"/>
      <c r="G45" s="106"/>
      <c r="H45" s="1">
        <v>5060</v>
      </c>
      <c r="I45" s="1">
        <v>4040</v>
      </c>
      <c r="J45" s="98">
        <v>0.8</v>
      </c>
      <c r="K45" s="34">
        <f>IF(AND('選定書'!$H$61&lt;=H45,'選定書'!$H$51&lt;=I45,'選定書'!$N$38&lt;=J45,'選定書'!$N$45&lt;=J45),1,0)</f>
        <v>1</v>
      </c>
      <c r="L45" s="7">
        <f t="shared" si="4"/>
        <v>14</v>
      </c>
      <c r="M45" s="7">
        <f t="shared" si="5"/>
        <v>0</v>
      </c>
      <c r="N45" s="7">
        <f t="shared" si="6"/>
        <v>2</v>
      </c>
      <c r="O45" s="7">
        <f>IF('選定書'!$H$61*$O$3&gt;H45,1,0)</f>
        <v>1</v>
      </c>
      <c r="P45" s="7"/>
    </row>
    <row r="46" spans="2:15" ht="13.5">
      <c r="B46" s="6"/>
      <c r="C46" s="6"/>
      <c r="D46" s="6"/>
      <c r="E46" s="6"/>
      <c r="F46" s="31"/>
      <c r="G46" s="9"/>
      <c r="H46" s="1"/>
      <c r="I46" s="1"/>
      <c r="J46" s="1"/>
      <c r="K46" s="34"/>
      <c r="L46" s="7"/>
      <c r="M46" s="7"/>
      <c r="O46" s="7"/>
    </row>
    <row r="47" spans="2:15" ht="13.5">
      <c r="B47" s="6"/>
      <c r="C47" s="6"/>
      <c r="D47" s="6"/>
      <c r="E47" s="6"/>
      <c r="F47" s="31"/>
      <c r="G47" s="9"/>
      <c r="H47" s="1"/>
      <c r="I47" s="1"/>
      <c r="J47" s="1"/>
      <c r="K47" s="34"/>
      <c r="L47" s="7"/>
      <c r="M47" s="7"/>
      <c r="O47" s="7"/>
    </row>
    <row r="48" spans="1:18" ht="13.5">
      <c r="A48" s="109">
        <v>1.7</v>
      </c>
      <c r="B48" s="6" t="s">
        <v>279</v>
      </c>
      <c r="C48" s="6" t="s">
        <v>201</v>
      </c>
      <c r="D48" s="6" t="s">
        <v>202</v>
      </c>
      <c r="E48" s="6" t="s">
        <v>15</v>
      </c>
      <c r="F48" s="31"/>
      <c r="H48" s="1">
        <v>8</v>
      </c>
      <c r="I48" s="1">
        <v>6.4</v>
      </c>
      <c r="J48" s="1">
        <v>0.49</v>
      </c>
      <c r="K48" s="34">
        <f>IF(AND('選定書'!$H$61&lt;=H48,'選定書'!$H$51&lt;=I48,'選定書'!$N$38&lt;=J48,'選定書'!$N$45&lt;=J48),1,0)</f>
        <v>0</v>
      </c>
      <c r="L48" s="7">
        <f>K48</f>
        <v>0</v>
      </c>
      <c r="M48" s="7">
        <f>IF(L48=1,1,0)</f>
        <v>0</v>
      </c>
      <c r="N48" s="7">
        <f>M48</f>
        <v>0</v>
      </c>
      <c r="O48" s="7">
        <f>IF('選定書'!$H$61*$O$3&gt;H48,1,0)</f>
        <v>1</v>
      </c>
      <c r="Q48">
        <f>MATCH(1,N48:N70,0)</f>
        <v>10</v>
      </c>
      <c r="R48" t="str">
        <f ca="1">IF('選定書'!$H$61&lt;=0,"",OFFSET(B$47,Q48,0))</f>
        <v>AFU-200NX(第二種圧力容器)</v>
      </c>
    </row>
    <row r="49" spans="1:18" ht="13.5">
      <c r="A49" s="109">
        <v>3</v>
      </c>
      <c r="B49" s="6" t="s">
        <v>280</v>
      </c>
      <c r="C49" s="6" t="s">
        <v>203</v>
      </c>
      <c r="D49" s="6" t="s">
        <v>204</v>
      </c>
      <c r="E49" s="6" t="s">
        <v>15</v>
      </c>
      <c r="F49" s="31"/>
      <c r="H49" s="1">
        <v>18</v>
      </c>
      <c r="I49" s="1">
        <v>14.4</v>
      </c>
      <c r="J49" s="1">
        <v>0.49</v>
      </c>
      <c r="K49" s="34">
        <f>IF(AND('選定書'!$H$61&lt;=H49,'選定書'!$H$51&lt;=I49,'選定書'!$N$38&lt;=J49,'選定書'!$N$45&lt;=J49),1,0)</f>
        <v>0</v>
      </c>
      <c r="L49" s="7">
        <f aca="true" t="shared" si="7" ref="L49:L56">IF(K49&lt;&gt;0,L48+K49,0)</f>
        <v>0</v>
      </c>
      <c r="M49" s="7">
        <f aca="true" t="shared" si="8" ref="M49:M55">IF(L49=1,1,0)</f>
        <v>0</v>
      </c>
      <c r="N49" s="7">
        <f aca="true" t="shared" si="9" ref="N49:N54">N48+M49</f>
        <v>0</v>
      </c>
      <c r="O49" s="7">
        <f>IF('選定書'!$H$61*$O$3&gt;H49,1,0)</f>
        <v>1</v>
      </c>
      <c r="Q49" t="e">
        <f>MATCH(2,N48:N70,0)</f>
        <v>#N/A</v>
      </c>
      <c r="R49" t="e">
        <f ca="1">IF('選定書'!$H$61&lt;=0,"",IF(OFFSET($O$3,Q49,0)=1,OFFSET(B$47,Q49,0),""))</f>
        <v>#N/A</v>
      </c>
    </row>
    <row r="50" spans="1:15" ht="13.5">
      <c r="A50" s="109">
        <v>3.9</v>
      </c>
      <c r="B50" s="6" t="s">
        <v>281</v>
      </c>
      <c r="C50" s="6" t="s">
        <v>236</v>
      </c>
      <c r="D50" s="6" t="s">
        <v>237</v>
      </c>
      <c r="E50" s="6" t="s">
        <v>15</v>
      </c>
      <c r="F50" s="31"/>
      <c r="H50" s="1">
        <v>24</v>
      </c>
      <c r="I50" s="1">
        <v>19.2</v>
      </c>
      <c r="J50" s="1">
        <v>0.49</v>
      </c>
      <c r="K50" s="34">
        <f>IF(AND('選定書'!$H$61&lt;=H50,'選定書'!$H$51&lt;=I50,'選定書'!$N$38&lt;=J50,'選定書'!$N$45&lt;=J50),1,0)</f>
        <v>0</v>
      </c>
      <c r="L50" s="7">
        <f t="shared" si="7"/>
        <v>0</v>
      </c>
      <c r="M50" s="7">
        <f t="shared" si="8"/>
        <v>0</v>
      </c>
      <c r="N50" s="7">
        <f t="shared" si="9"/>
        <v>0</v>
      </c>
      <c r="O50" s="7">
        <f>IF('選定書'!$H$61*$O$3&gt;H50,1,0)</f>
        <v>1</v>
      </c>
    </row>
    <row r="51" spans="1:15" ht="13.5">
      <c r="A51" s="109">
        <v>7</v>
      </c>
      <c r="B51" s="6" t="s">
        <v>282</v>
      </c>
      <c r="C51" s="6" t="s">
        <v>205</v>
      </c>
      <c r="D51" s="6" t="s">
        <v>206</v>
      </c>
      <c r="E51" s="6" t="s">
        <v>207</v>
      </c>
      <c r="F51" s="31"/>
      <c r="H51" s="1">
        <v>50</v>
      </c>
      <c r="I51" s="1">
        <v>30</v>
      </c>
      <c r="J51" s="1">
        <v>0.19</v>
      </c>
      <c r="K51" s="34">
        <f>IF(AND('選定書'!$H$61&lt;=H51,'選定書'!$H$51&lt;=I51,'選定書'!$N$38&lt;=J51,'選定書'!$N$45&lt;=J51),1,0)</f>
        <v>0</v>
      </c>
      <c r="L51" s="7">
        <f t="shared" si="7"/>
        <v>0</v>
      </c>
      <c r="M51" s="7">
        <f t="shared" si="8"/>
        <v>0</v>
      </c>
      <c r="N51" s="7">
        <f t="shared" si="9"/>
        <v>0</v>
      </c>
      <c r="O51" s="7">
        <f>IF('選定書'!$H$61*$O$3&gt;H51,1,0)</f>
        <v>1</v>
      </c>
    </row>
    <row r="52" spans="1:15" ht="13.5">
      <c r="A52" s="109">
        <v>15.5</v>
      </c>
      <c r="B52" s="6" t="s">
        <v>283</v>
      </c>
      <c r="C52" s="6" t="s">
        <v>208</v>
      </c>
      <c r="D52" s="6" t="s">
        <v>209</v>
      </c>
      <c r="E52" s="6" t="s">
        <v>207</v>
      </c>
      <c r="F52" s="31"/>
      <c r="H52" s="1">
        <v>100</v>
      </c>
      <c r="I52" s="1">
        <v>60</v>
      </c>
      <c r="J52" s="1">
        <v>0.19</v>
      </c>
      <c r="K52" s="34">
        <f>IF(AND('選定書'!$H$61&lt;=H52,'選定書'!$H$51&lt;=I52,'選定書'!$N$38&lt;=J52,'選定書'!$N$45&lt;=J52),1,0)</f>
        <v>0</v>
      </c>
      <c r="L52" s="7">
        <f t="shared" si="7"/>
        <v>0</v>
      </c>
      <c r="M52" s="7">
        <f t="shared" si="8"/>
        <v>0</v>
      </c>
      <c r="N52" s="7">
        <f t="shared" si="9"/>
        <v>0</v>
      </c>
      <c r="O52" s="7">
        <f>IF('選定書'!$H$61*$O$3&gt;H52,1,0)</f>
        <v>1</v>
      </c>
    </row>
    <row r="53" spans="2:15" ht="13.5">
      <c r="B53" s="6"/>
      <c r="C53" s="6"/>
      <c r="D53" s="6"/>
      <c r="E53" s="6"/>
      <c r="F53" s="31"/>
      <c r="K53" s="34"/>
      <c r="L53" s="7"/>
      <c r="M53" s="7"/>
      <c r="N53" s="7">
        <f t="shared" si="9"/>
        <v>0</v>
      </c>
      <c r="O53" s="7"/>
    </row>
    <row r="54" spans="1:15" ht="13.5">
      <c r="A54" s="109">
        <v>40</v>
      </c>
      <c r="B54" s="97" t="s">
        <v>284</v>
      </c>
      <c r="C54" s="97" t="s">
        <v>179</v>
      </c>
      <c r="D54" s="97" t="s">
        <v>137</v>
      </c>
      <c r="E54" s="97" t="s">
        <v>147</v>
      </c>
      <c r="F54" s="99"/>
      <c r="G54" s="110"/>
      <c r="H54" s="98">
        <v>60</v>
      </c>
      <c r="I54" s="98">
        <v>48</v>
      </c>
      <c r="J54" s="98">
        <v>0.8</v>
      </c>
      <c r="K54" s="34">
        <f>IF(AND('選定書'!$H$61&lt;=H54,'選定書'!$H$51&lt;=I54,'選定書'!$N$38&lt;=J54,'選定書'!$N$45&lt;=J54),1,0)</f>
        <v>0</v>
      </c>
      <c r="L54" s="7">
        <f>IF(K54&lt;&gt;0,L53+K54,0)</f>
        <v>0</v>
      </c>
      <c r="M54" s="7">
        <f>IF(L54=1,1,0)</f>
        <v>0</v>
      </c>
      <c r="N54" s="7">
        <f t="shared" si="9"/>
        <v>0</v>
      </c>
      <c r="O54" s="7">
        <f>IF('選定書'!$H$61*$O$3&gt;H54,1,0)</f>
        <v>1</v>
      </c>
    </row>
    <row r="55" spans="1:15" ht="13.5">
      <c r="A55" s="109">
        <v>45</v>
      </c>
      <c r="B55" s="97" t="s">
        <v>285</v>
      </c>
      <c r="C55" s="97" t="s">
        <v>180</v>
      </c>
      <c r="D55" s="97" t="s">
        <v>138</v>
      </c>
      <c r="E55" s="97" t="s">
        <v>147</v>
      </c>
      <c r="F55" s="99"/>
      <c r="G55" s="110"/>
      <c r="H55" s="98">
        <v>80</v>
      </c>
      <c r="I55" s="98">
        <v>64</v>
      </c>
      <c r="J55" s="98">
        <v>0.8</v>
      </c>
      <c r="K55" s="34">
        <f>IF(AND('選定書'!$H$61&lt;=H55,'選定書'!$H$51&lt;=I55,'選定書'!$N$38&lt;=J55,'選定書'!$N$45&lt;=J55),1,0)</f>
        <v>0</v>
      </c>
      <c r="L55" s="7">
        <f>IF(K55&lt;&gt;0,L54+K55,0)</f>
        <v>0</v>
      </c>
      <c r="M55" s="7">
        <f t="shared" si="8"/>
        <v>0</v>
      </c>
      <c r="N55" s="7">
        <f aca="true" t="shared" si="10" ref="N55:N67">N54+M55</f>
        <v>0</v>
      </c>
      <c r="O55" s="7">
        <f>IF('選定書'!$H$61*$O$3&gt;H55,1,0)</f>
        <v>1</v>
      </c>
    </row>
    <row r="56" spans="1:15" ht="13.5">
      <c r="A56" s="109">
        <v>55</v>
      </c>
      <c r="B56" s="97" t="s">
        <v>286</v>
      </c>
      <c r="C56" s="97" t="s">
        <v>181</v>
      </c>
      <c r="D56" s="97" t="s">
        <v>164</v>
      </c>
      <c r="E56" s="97" t="s">
        <v>147</v>
      </c>
      <c r="F56" s="99"/>
      <c r="G56" s="110"/>
      <c r="H56" s="98">
        <v>109</v>
      </c>
      <c r="I56" s="98">
        <v>87</v>
      </c>
      <c r="J56" s="98">
        <v>0.8</v>
      </c>
      <c r="K56" s="34">
        <f>IF(AND('選定書'!$H$61&lt;=H56,'選定書'!$H$51&lt;=I56,'選定書'!$N$38&lt;=J56,'選定書'!$N$45&lt;=J56),1,0)</f>
        <v>0</v>
      </c>
      <c r="L56" s="7">
        <f t="shared" si="7"/>
        <v>0</v>
      </c>
      <c r="M56" s="7">
        <f aca="true" t="shared" si="11" ref="M56:M67">IF(L56=1,1,0)</f>
        <v>0</v>
      </c>
      <c r="N56" s="7">
        <f t="shared" si="10"/>
        <v>0</v>
      </c>
      <c r="O56" s="7">
        <f>IF('選定書'!$H$61*$O$3&gt;H56,1,0)</f>
        <v>1</v>
      </c>
    </row>
    <row r="57" spans="1:15" ht="13.5">
      <c r="A57" s="109">
        <v>110</v>
      </c>
      <c r="B57" s="97" t="s">
        <v>287</v>
      </c>
      <c r="C57" s="97" t="s">
        <v>182</v>
      </c>
      <c r="D57" s="97" t="s">
        <v>238</v>
      </c>
      <c r="E57" s="97" t="s">
        <v>147</v>
      </c>
      <c r="F57" s="99"/>
      <c r="G57" s="110"/>
      <c r="H57" s="98">
        <v>208</v>
      </c>
      <c r="I57" s="98">
        <v>165</v>
      </c>
      <c r="J57" s="98">
        <v>0.8</v>
      </c>
      <c r="K57" s="34">
        <f>IF(AND('選定書'!$H$61&lt;=H57,'選定書'!$H$51&lt;=I57,'選定書'!$N$38&lt;=J57,'選定書'!$N$45&lt;=J57),1,0)</f>
        <v>1</v>
      </c>
      <c r="L57" s="7">
        <f aca="true" t="shared" si="12" ref="L57:L67">IF(K57&lt;&gt;0,L56+K57,0)</f>
        <v>1</v>
      </c>
      <c r="M57" s="7">
        <f t="shared" si="11"/>
        <v>1</v>
      </c>
      <c r="N57" s="7">
        <f t="shared" si="10"/>
        <v>1</v>
      </c>
      <c r="O57" s="7">
        <f>IF('選定書'!$H$61*$O$3&gt;H57,1,0)</f>
        <v>1</v>
      </c>
    </row>
    <row r="58" spans="1:15" ht="13.5">
      <c r="A58" s="109">
        <v>130</v>
      </c>
      <c r="B58" s="97" t="s">
        <v>288</v>
      </c>
      <c r="C58" s="97" t="s">
        <v>183</v>
      </c>
      <c r="D58" s="97" t="s">
        <v>84</v>
      </c>
      <c r="E58" s="97" t="s">
        <v>147</v>
      </c>
      <c r="F58" s="99"/>
      <c r="G58" s="110"/>
      <c r="H58" s="98">
        <v>300</v>
      </c>
      <c r="I58" s="98">
        <v>240</v>
      </c>
      <c r="J58" s="98">
        <v>0.8</v>
      </c>
      <c r="K58" s="34">
        <f>IF(AND('選定書'!$H$61&lt;=H58,'選定書'!$H$51&lt;=I58,'選定書'!$N$38&lt;=J58,'選定書'!$N$45&lt;=J58),1,0)</f>
        <v>1</v>
      </c>
      <c r="L58" s="7">
        <f t="shared" si="12"/>
        <v>2</v>
      </c>
      <c r="M58" s="7">
        <f t="shared" si="11"/>
        <v>0</v>
      </c>
      <c r="N58" s="7">
        <f t="shared" si="10"/>
        <v>1</v>
      </c>
      <c r="O58" s="7">
        <f>IF('選定書'!$H$61*$O$3&gt;H58,1,0)</f>
        <v>1</v>
      </c>
    </row>
    <row r="59" spans="1:15" ht="13.5">
      <c r="A59" s="109">
        <v>160</v>
      </c>
      <c r="B59" s="97" t="s">
        <v>289</v>
      </c>
      <c r="C59" s="97" t="s">
        <v>184</v>
      </c>
      <c r="D59" s="97" t="s">
        <v>85</v>
      </c>
      <c r="E59" s="97" t="s">
        <v>147</v>
      </c>
      <c r="F59" s="99"/>
      <c r="G59" s="110"/>
      <c r="H59" s="98">
        <v>400</v>
      </c>
      <c r="I59" s="98">
        <v>320</v>
      </c>
      <c r="J59" s="98">
        <v>0.8</v>
      </c>
      <c r="K59" s="34">
        <f>IF(AND('選定書'!$H$61&lt;=H59,'選定書'!$H$51&lt;=I59,'選定書'!$N$38&lt;=J59,'選定書'!$N$45&lt;=J59),1,0)</f>
        <v>1</v>
      </c>
      <c r="L59" s="7">
        <f t="shared" si="12"/>
        <v>3</v>
      </c>
      <c r="M59" s="7">
        <f t="shared" si="11"/>
        <v>0</v>
      </c>
      <c r="N59" s="7">
        <f t="shared" si="10"/>
        <v>1</v>
      </c>
      <c r="O59" s="7">
        <f>IF('選定書'!$H$61*$O$3&gt;H59,1,0)</f>
        <v>1</v>
      </c>
    </row>
    <row r="60" spans="1:15" ht="13.5">
      <c r="A60" s="109">
        <v>190</v>
      </c>
      <c r="B60" s="97" t="s">
        <v>290</v>
      </c>
      <c r="C60" s="97" t="s">
        <v>185</v>
      </c>
      <c r="D60" s="97" t="s">
        <v>86</v>
      </c>
      <c r="E60" s="97" t="s">
        <v>147</v>
      </c>
      <c r="F60" s="99"/>
      <c r="G60" s="110"/>
      <c r="H60" s="98">
        <v>500</v>
      </c>
      <c r="I60" s="98">
        <v>400</v>
      </c>
      <c r="J60" s="98">
        <v>0.8</v>
      </c>
      <c r="K60" s="34">
        <f>IF(AND('選定書'!$H$61&lt;=H60,'選定書'!$H$51&lt;=I60,'選定書'!$N$38&lt;=J60,'選定書'!$N$45&lt;=J60),1,0)</f>
        <v>1</v>
      </c>
      <c r="L60" s="7">
        <f t="shared" si="12"/>
        <v>4</v>
      </c>
      <c r="M60" s="7">
        <f t="shared" si="11"/>
        <v>0</v>
      </c>
      <c r="N60" s="7">
        <f t="shared" si="10"/>
        <v>1</v>
      </c>
      <c r="O60" s="7">
        <f>IF('選定書'!$H$61*$O$3&gt;H60,1,0)</f>
        <v>1</v>
      </c>
    </row>
    <row r="61" spans="1:15" ht="13.5">
      <c r="A61" s="109">
        <v>220</v>
      </c>
      <c r="B61" s="97" t="s">
        <v>291</v>
      </c>
      <c r="C61" s="97" t="s">
        <v>196</v>
      </c>
      <c r="D61" s="97" t="s">
        <v>87</v>
      </c>
      <c r="E61" s="97" t="s">
        <v>147</v>
      </c>
      <c r="F61" s="99"/>
      <c r="G61" s="110"/>
      <c r="H61" s="98">
        <v>600</v>
      </c>
      <c r="I61" s="98">
        <v>480</v>
      </c>
      <c r="J61" s="98">
        <v>0.8</v>
      </c>
      <c r="K61" s="34">
        <f>IF(AND('選定書'!$H$61&lt;=H61,'選定書'!$H$51&lt;=I61,'選定書'!$N$38&lt;=J61,'選定書'!$N$45&lt;=J61),1,0)</f>
        <v>1</v>
      </c>
      <c r="L61" s="7">
        <f t="shared" si="12"/>
        <v>5</v>
      </c>
      <c r="M61" s="7">
        <f t="shared" si="11"/>
        <v>0</v>
      </c>
      <c r="N61" s="7">
        <f t="shared" si="10"/>
        <v>1</v>
      </c>
      <c r="O61" s="7">
        <f>IF('選定書'!$H$61*$O$3&gt;H61,1,0)</f>
        <v>1</v>
      </c>
    </row>
    <row r="62" spans="1:15" ht="13.5">
      <c r="A62" s="109">
        <v>260</v>
      </c>
      <c r="B62" s="97" t="s">
        <v>292</v>
      </c>
      <c r="C62" s="97" t="s">
        <v>197</v>
      </c>
      <c r="D62" s="97" t="s">
        <v>88</v>
      </c>
      <c r="E62" s="97" t="s">
        <v>147</v>
      </c>
      <c r="F62" s="99"/>
      <c r="G62" s="110"/>
      <c r="H62" s="98">
        <v>800</v>
      </c>
      <c r="I62" s="98">
        <v>640</v>
      </c>
      <c r="J62" s="98">
        <v>0.8</v>
      </c>
      <c r="K62" s="34">
        <f>IF(AND('選定書'!$H$61&lt;=H62,'選定書'!$H$51&lt;=I62,'選定書'!$N$38&lt;=J62,'選定書'!$N$45&lt;=J62),1,0)</f>
        <v>1</v>
      </c>
      <c r="L62" s="7">
        <f t="shared" si="12"/>
        <v>6</v>
      </c>
      <c r="M62" s="7">
        <f t="shared" si="11"/>
        <v>0</v>
      </c>
      <c r="N62" s="7">
        <f t="shared" si="10"/>
        <v>1</v>
      </c>
      <c r="O62" s="7">
        <f>IF('選定書'!$H$61*$O$3&gt;H62,1,0)</f>
        <v>1</v>
      </c>
    </row>
    <row r="63" spans="1:15" ht="13.5">
      <c r="A63" s="109">
        <v>340</v>
      </c>
      <c r="B63" s="97" t="s">
        <v>293</v>
      </c>
      <c r="C63" s="97" t="s">
        <v>186</v>
      </c>
      <c r="D63" s="97" t="s">
        <v>89</v>
      </c>
      <c r="E63" s="97" t="s">
        <v>147</v>
      </c>
      <c r="F63" s="99"/>
      <c r="G63" s="110"/>
      <c r="H63" s="98">
        <v>1000</v>
      </c>
      <c r="I63" s="98">
        <v>800</v>
      </c>
      <c r="J63" s="98">
        <v>0.8</v>
      </c>
      <c r="K63" s="34">
        <f>IF(AND('選定書'!$H$61&lt;=H63,'選定書'!$H$51&lt;=I63,'選定書'!$N$38&lt;=J63,'選定書'!$N$45&lt;=J63),1,0)</f>
        <v>1</v>
      </c>
      <c r="L63" s="7">
        <f t="shared" si="12"/>
        <v>7</v>
      </c>
      <c r="M63" s="7">
        <f t="shared" si="11"/>
        <v>0</v>
      </c>
      <c r="N63" s="7">
        <f t="shared" si="10"/>
        <v>1</v>
      </c>
      <c r="O63" s="7">
        <f>IF('選定書'!$H$61*$O$3&gt;H63,1,0)</f>
        <v>1</v>
      </c>
    </row>
    <row r="64" spans="1:15" ht="13.5">
      <c r="A64" s="109">
        <v>380</v>
      </c>
      <c r="B64" s="97" t="s">
        <v>294</v>
      </c>
      <c r="C64" s="97" t="s">
        <v>187</v>
      </c>
      <c r="D64" s="97" t="s">
        <v>90</v>
      </c>
      <c r="E64" s="97" t="s">
        <v>147</v>
      </c>
      <c r="F64" s="99"/>
      <c r="G64" s="110"/>
      <c r="H64" s="98">
        <v>1200</v>
      </c>
      <c r="I64" s="98">
        <v>960</v>
      </c>
      <c r="J64" s="98">
        <v>0.8</v>
      </c>
      <c r="K64" s="34">
        <f>IF(AND('選定書'!$H$61&lt;=H64,'選定書'!$H$51&lt;=I64,'選定書'!$N$38&lt;=J64,'選定書'!$N$45&lt;=J64),1,0)</f>
        <v>1</v>
      </c>
      <c r="L64" s="7">
        <f t="shared" si="12"/>
        <v>8</v>
      </c>
      <c r="M64" s="7">
        <f t="shared" si="11"/>
        <v>0</v>
      </c>
      <c r="N64" s="7">
        <f t="shared" si="10"/>
        <v>1</v>
      </c>
      <c r="O64" s="7">
        <f>IF('選定書'!$H$61*$O$3&gt;H64,1,0)</f>
        <v>1</v>
      </c>
    </row>
    <row r="65" spans="1:15" ht="13.5">
      <c r="A65" s="109">
        <v>430</v>
      </c>
      <c r="B65" s="97" t="s">
        <v>295</v>
      </c>
      <c r="C65" s="97" t="s">
        <v>188</v>
      </c>
      <c r="D65" s="97" t="s">
        <v>91</v>
      </c>
      <c r="E65" s="97" t="s">
        <v>147</v>
      </c>
      <c r="F65" s="99"/>
      <c r="G65" s="110"/>
      <c r="H65" s="98">
        <v>1400</v>
      </c>
      <c r="I65" s="98">
        <v>1120</v>
      </c>
      <c r="J65" s="98">
        <v>0.8</v>
      </c>
      <c r="K65" s="34">
        <f>IF(AND('選定書'!$H$61&lt;=H65,'選定書'!$H$51&lt;=I65,'選定書'!$N$38&lt;=J65,'選定書'!$N$45&lt;=J65),1,0)</f>
        <v>1</v>
      </c>
      <c r="L65" s="7">
        <f t="shared" si="12"/>
        <v>9</v>
      </c>
      <c r="M65" s="7">
        <f t="shared" si="11"/>
        <v>0</v>
      </c>
      <c r="N65" s="7">
        <f t="shared" si="10"/>
        <v>1</v>
      </c>
      <c r="O65" s="7">
        <f>IF('選定書'!$H$61*$O$3&gt;H65,1,0)</f>
        <v>1</v>
      </c>
    </row>
    <row r="66" spans="1:15" ht="13.5">
      <c r="A66" s="109">
        <v>670</v>
      </c>
      <c r="B66" s="97" t="s">
        <v>296</v>
      </c>
      <c r="C66" s="97" t="s">
        <v>189</v>
      </c>
      <c r="D66" s="97" t="s">
        <v>92</v>
      </c>
      <c r="E66" s="97" t="s">
        <v>147</v>
      </c>
      <c r="F66" s="99"/>
      <c r="G66" s="110"/>
      <c r="H66" s="98">
        <v>1600</v>
      </c>
      <c r="I66" s="98">
        <v>1280</v>
      </c>
      <c r="J66" s="98">
        <v>0.8</v>
      </c>
      <c r="K66" s="34">
        <f>IF(AND('選定書'!$H$61&lt;=H66,'選定書'!$H$51&lt;=I66,'選定書'!$N$38&lt;=J66,'選定書'!$N$45&lt;=J66),1,0)</f>
        <v>1</v>
      </c>
      <c r="L66" s="7">
        <f t="shared" si="12"/>
        <v>10</v>
      </c>
      <c r="M66" s="7">
        <f t="shared" si="11"/>
        <v>0</v>
      </c>
      <c r="N66" s="7">
        <f t="shared" si="10"/>
        <v>1</v>
      </c>
      <c r="O66" s="7">
        <f>IF('選定書'!$H$61*$O$3&gt;H66,1,0)</f>
        <v>1</v>
      </c>
    </row>
    <row r="67" spans="1:15" ht="13.5">
      <c r="A67" s="109">
        <v>760</v>
      </c>
      <c r="B67" s="97" t="s">
        <v>297</v>
      </c>
      <c r="C67" s="97" t="s">
        <v>190</v>
      </c>
      <c r="D67" s="97" t="s">
        <v>93</v>
      </c>
      <c r="E67" s="97" t="s">
        <v>147</v>
      </c>
      <c r="F67" s="99"/>
      <c r="G67" s="110"/>
      <c r="H67" s="98">
        <v>2000</v>
      </c>
      <c r="I67" s="98">
        <v>1600</v>
      </c>
      <c r="J67" s="98">
        <v>0.8</v>
      </c>
      <c r="K67" s="34">
        <f>IF(AND('選定書'!$H$61&lt;=H67,'選定書'!$H$51&lt;=I67,'選定書'!$N$38&lt;=J67,'選定書'!$N$45&lt;=J67),1,0)</f>
        <v>1</v>
      </c>
      <c r="L67" s="7">
        <f t="shared" si="12"/>
        <v>11</v>
      </c>
      <c r="M67" s="7">
        <f t="shared" si="11"/>
        <v>0</v>
      </c>
      <c r="N67" s="7">
        <f t="shared" si="10"/>
        <v>1</v>
      </c>
      <c r="O67" s="7">
        <f>IF('選定書'!$H$61*$O$3&gt;H67,1,0)</f>
        <v>1</v>
      </c>
    </row>
    <row r="68" spans="1:15" ht="13.5">
      <c r="A68" s="109">
        <v>1060</v>
      </c>
      <c r="B68" s="97" t="s">
        <v>298</v>
      </c>
      <c r="C68" s="97" t="s">
        <v>191</v>
      </c>
      <c r="D68" s="97" t="s">
        <v>134</v>
      </c>
      <c r="E68" s="97" t="s">
        <v>147</v>
      </c>
      <c r="F68" s="99"/>
      <c r="G68" s="110"/>
      <c r="H68" s="98">
        <v>3000</v>
      </c>
      <c r="I68" s="98">
        <v>2400</v>
      </c>
      <c r="J68" s="98">
        <v>0.8</v>
      </c>
      <c r="K68" s="34">
        <f>IF(AND('選定書'!$H$61&lt;=H68,'選定書'!$H$51&lt;=I68,'選定書'!$N$38&lt;=J68,'選定書'!$N$45&lt;=J68),1,0)</f>
        <v>1</v>
      </c>
      <c r="L68" s="7">
        <f>IF(K68&lt;&gt;0,L67+K68,0)</f>
        <v>12</v>
      </c>
      <c r="M68" s="7">
        <f>IF(L68=1,1,0)</f>
        <v>0</v>
      </c>
      <c r="N68" s="7">
        <f>N67+M68</f>
        <v>1</v>
      </c>
      <c r="O68" s="7">
        <f>IF('選定書'!$H$61*$O$3&gt;H68,1,0)</f>
        <v>1</v>
      </c>
    </row>
    <row r="69" spans="1:15" ht="13.5">
      <c r="A69" s="109">
        <v>1360</v>
      </c>
      <c r="B69" s="97" t="s">
        <v>299</v>
      </c>
      <c r="C69" s="97" t="s">
        <v>192</v>
      </c>
      <c r="D69" s="97" t="s">
        <v>135</v>
      </c>
      <c r="E69" s="97" t="s">
        <v>147</v>
      </c>
      <c r="F69" s="99"/>
      <c r="G69" s="110"/>
      <c r="H69" s="98">
        <v>4000</v>
      </c>
      <c r="I69" s="98">
        <v>3200</v>
      </c>
      <c r="J69" s="98">
        <v>0.8</v>
      </c>
      <c r="K69" s="34">
        <f>IF(AND('選定書'!$H$61&lt;=H69,'選定書'!$H$51&lt;=I69,'選定書'!$N$38&lt;=J69,'選定書'!$N$45&lt;=J69),1,0)</f>
        <v>1</v>
      </c>
      <c r="L69" s="7">
        <f>IF(K69&lt;&gt;0,L68+K69,0)</f>
        <v>13</v>
      </c>
      <c r="M69" s="7">
        <f>IF(L69=1,1,0)</f>
        <v>0</v>
      </c>
      <c r="N69" s="7">
        <f>N68+M69</f>
        <v>1</v>
      </c>
      <c r="O69" s="7">
        <f>IF('選定書'!$H$61*$O$3&gt;H69,1,0)</f>
        <v>1</v>
      </c>
    </row>
    <row r="70" spans="1:15" ht="13.5">
      <c r="A70" s="109">
        <v>1590</v>
      </c>
      <c r="B70" s="97" t="s">
        <v>300</v>
      </c>
      <c r="C70" s="97" t="s">
        <v>193</v>
      </c>
      <c r="D70" s="97" t="s">
        <v>239</v>
      </c>
      <c r="E70" s="97" t="s">
        <v>147</v>
      </c>
      <c r="F70" s="99"/>
      <c r="G70" s="110"/>
      <c r="H70" s="98">
        <v>5050</v>
      </c>
      <c r="I70" s="98">
        <v>4040</v>
      </c>
      <c r="J70" s="98">
        <v>0.8</v>
      </c>
      <c r="K70" s="34">
        <f>IF(AND('選定書'!$H$61&lt;=H70,'選定書'!$H$51&lt;=I70,'選定書'!$N$38&lt;=J70,'選定書'!$N$45&lt;=J70),1,0)</f>
        <v>1</v>
      </c>
      <c r="L70" s="7">
        <f>IF(K70&lt;&gt;0,L69+K70,0)</f>
        <v>14</v>
      </c>
      <c r="M70" s="7">
        <f>IF(L70=1,1,0)</f>
        <v>0</v>
      </c>
      <c r="N70" s="7">
        <f>N69+M70</f>
        <v>1</v>
      </c>
      <c r="O70" s="7">
        <f>IF('選定書'!$H$61*$O$3&gt;H70,1,0)</f>
        <v>1</v>
      </c>
    </row>
    <row r="73" spans="2:3" ht="13.5">
      <c r="B73" s="108"/>
      <c r="C73" s="108"/>
    </row>
  </sheetData>
  <sheetProtection/>
  <printOptions/>
  <pageMargins left="0.75" right="0.75" top="1" bottom="1" header="0.512" footer="0.512"/>
  <pageSetup orientation="portrait" paperSize="9"/>
  <legacyDrawing r:id="rId2"/>
</worksheet>
</file>

<file path=xl/worksheets/sheet5.xml><?xml version="1.0" encoding="utf-8"?>
<worksheet xmlns="http://schemas.openxmlformats.org/spreadsheetml/2006/main" xmlns:r="http://schemas.openxmlformats.org/officeDocument/2006/relationships">
  <sheetPr codeName="Sheet7"/>
  <dimension ref="B2:N68"/>
  <sheetViews>
    <sheetView zoomScalePageLayoutView="0" workbookViewId="0" topLeftCell="A7">
      <selection activeCell="B20" sqref="B20"/>
    </sheetView>
  </sheetViews>
  <sheetFormatPr defaultColWidth="9.00390625" defaultRowHeight="13.5"/>
  <cols>
    <col min="1" max="1" width="2.625" style="0" customWidth="1"/>
    <col min="2" max="4" width="10.625" style="0" customWidth="1"/>
    <col min="5" max="5" width="2.625" style="0" customWidth="1"/>
    <col min="6" max="6" width="4.625" style="0" customWidth="1"/>
    <col min="7" max="7" width="8.625" style="0" customWidth="1"/>
    <col min="8" max="8" width="5.625" style="0" customWidth="1"/>
    <col min="9" max="11" width="10.625" style="0" customWidth="1"/>
    <col min="12" max="12" width="2.625" style="0" customWidth="1"/>
    <col min="13" max="13" width="4.625" style="0" customWidth="1"/>
    <col min="14" max="14" width="8.625" style="0" customWidth="1"/>
    <col min="15" max="15" width="2.625" style="0" customWidth="1"/>
  </cols>
  <sheetData>
    <row r="2" spans="2:14" ht="18.75">
      <c r="B2" s="186" t="s">
        <v>113</v>
      </c>
      <c r="C2" s="186"/>
      <c r="D2" s="186"/>
      <c r="E2" s="186"/>
      <c r="F2" s="186"/>
      <c r="G2" s="186"/>
      <c r="H2" s="10"/>
      <c r="I2" s="186" t="s">
        <v>115</v>
      </c>
      <c r="J2" s="186"/>
      <c r="K2" s="186"/>
      <c r="L2" s="186"/>
      <c r="M2" s="186"/>
      <c r="N2" s="186"/>
    </row>
    <row r="3" spans="5:13" ht="14.25">
      <c r="E3" s="10"/>
      <c r="F3" s="11"/>
      <c r="M3" s="11" t="s">
        <v>116</v>
      </c>
    </row>
    <row r="4" spans="5:13" ht="14.25">
      <c r="E4" s="10"/>
      <c r="F4" s="11" t="s">
        <v>105</v>
      </c>
      <c r="M4" s="11" t="s">
        <v>117</v>
      </c>
    </row>
    <row r="5" spans="2:14" ht="13.5">
      <c r="B5" t="s">
        <v>106</v>
      </c>
      <c r="D5" s="24">
        <f>'選定書'!N22</f>
        <v>5</v>
      </c>
      <c r="E5" s="12"/>
      <c r="F5" s="20" t="s">
        <v>114</v>
      </c>
      <c r="G5" s="21" t="s">
        <v>107</v>
      </c>
      <c r="I5" t="s">
        <v>106</v>
      </c>
      <c r="K5" s="24">
        <f>'選定書'!N22</f>
        <v>5</v>
      </c>
      <c r="M5" s="20" t="s">
        <v>114</v>
      </c>
      <c r="N5" s="21" t="s">
        <v>107</v>
      </c>
    </row>
    <row r="6" spans="2:14" ht="13.5">
      <c r="B6" t="s">
        <v>108</v>
      </c>
      <c r="D6" s="24">
        <f>'選定書'!N24</f>
        <v>60</v>
      </c>
      <c r="E6" s="12"/>
      <c r="F6" s="20">
        <v>0</v>
      </c>
      <c r="G6" s="22">
        <v>1.00013</v>
      </c>
      <c r="I6" t="s">
        <v>108</v>
      </c>
      <c r="K6" s="24">
        <f>'選定書'!N24</f>
        <v>60</v>
      </c>
      <c r="M6" s="20">
        <v>-10</v>
      </c>
      <c r="N6" s="22">
        <f aca="true" t="shared" si="0" ref="N6:N37">$J$26+$J$27*M6+$J$28*M6^2</f>
        <v>0.9283404</v>
      </c>
    </row>
    <row r="7" spans="2:14" ht="13.5">
      <c r="B7" t="s">
        <v>109</v>
      </c>
      <c r="D7" s="13">
        <f>D6-D5</f>
        <v>55</v>
      </c>
      <c r="E7" s="14"/>
      <c r="F7" s="20">
        <v>1</v>
      </c>
      <c r="G7" s="22">
        <v>1.00007</v>
      </c>
      <c r="I7" t="s">
        <v>109</v>
      </c>
      <c r="K7" s="13">
        <f>K6-K5</f>
        <v>55</v>
      </c>
      <c r="M7" s="20">
        <v>-9</v>
      </c>
      <c r="N7" s="22">
        <f t="shared" si="0"/>
        <v>0.9286694039999999</v>
      </c>
    </row>
    <row r="8" spans="5:14" ht="13.5">
      <c r="E8" s="10"/>
      <c r="F8" s="20">
        <v>2</v>
      </c>
      <c r="G8" s="22">
        <v>1.00003</v>
      </c>
      <c r="M8" s="20">
        <v>-8</v>
      </c>
      <c r="N8" s="22">
        <f t="shared" si="0"/>
        <v>0.929002176</v>
      </c>
    </row>
    <row r="9" spans="2:14" ht="13.5">
      <c r="B9" t="s">
        <v>110</v>
      </c>
      <c r="D9" s="15">
        <f>IF(D5=D15,D16,D16+(D5-D15)/(D17-D15)*(D18-D16))</f>
        <v>1.00001</v>
      </c>
      <c r="E9" s="16"/>
      <c r="F9" s="20">
        <v>3</v>
      </c>
      <c r="G9" s="22">
        <v>1.00001</v>
      </c>
      <c r="I9" t="s">
        <v>110</v>
      </c>
      <c r="K9" s="15">
        <f>IF(K5=K15,K16,K16+(K5-K15)/(K17-K15)*(K18-K16))</f>
        <v>0.9336711</v>
      </c>
      <c r="M9" s="20">
        <v>-7</v>
      </c>
      <c r="N9" s="22">
        <f t="shared" si="0"/>
        <v>0.929338716</v>
      </c>
    </row>
    <row r="10" spans="2:14" ht="13.5">
      <c r="B10" t="s">
        <v>111</v>
      </c>
      <c r="D10" s="15">
        <f>IF(D6=D19,D20,D20+(D6-D19)/(D21-D19)*(D22-D20))</f>
        <v>1.01705</v>
      </c>
      <c r="E10" s="16"/>
      <c r="F10" s="20">
        <v>4</v>
      </c>
      <c r="G10" s="22">
        <v>1</v>
      </c>
      <c r="I10" t="s">
        <v>111</v>
      </c>
      <c r="K10" s="15">
        <f>IF(K6=K19,K20,K20+(K6-K19)/(K21-K19)*(K22-K20))</f>
        <v>0.9604704</v>
      </c>
      <c r="M10" s="20">
        <v>-6</v>
      </c>
      <c r="N10" s="22">
        <f t="shared" si="0"/>
        <v>0.929679024</v>
      </c>
    </row>
    <row r="11" spans="5:14" ht="14.25" thickBot="1">
      <c r="E11" s="10"/>
      <c r="F11" s="20">
        <v>5</v>
      </c>
      <c r="G11" s="22">
        <v>1.00001</v>
      </c>
      <c r="M11" s="20">
        <v>-5</v>
      </c>
      <c r="N11" s="22">
        <f t="shared" si="0"/>
        <v>0.9300230999999999</v>
      </c>
    </row>
    <row r="12" spans="2:14" ht="14.25" thickBot="1">
      <c r="B12" t="s">
        <v>112</v>
      </c>
      <c r="D12" s="17">
        <f>(D10/D9/(1+11.8*10^-6*D7)^3)-1</f>
        <v>0.015062220545158933</v>
      </c>
      <c r="E12" s="18"/>
      <c r="F12" s="20">
        <v>6</v>
      </c>
      <c r="G12" s="22">
        <v>1.00003</v>
      </c>
      <c r="I12" t="s">
        <v>112</v>
      </c>
      <c r="K12" s="17">
        <f>J29*((K10/K9/(1+11.8*10^-6*K7)^3)-1)</f>
        <v>0.03204343218691221</v>
      </c>
      <c r="M12" s="20">
        <v>-4</v>
      </c>
      <c r="N12" s="22">
        <f t="shared" si="0"/>
        <v>0.930370944</v>
      </c>
    </row>
    <row r="13" spans="5:14" ht="13.5">
      <c r="E13" s="10"/>
      <c r="F13" s="20">
        <v>7</v>
      </c>
      <c r="G13" s="22">
        <v>1.00007</v>
      </c>
      <c r="M13" s="20">
        <v>-3</v>
      </c>
      <c r="N13" s="22">
        <f t="shared" si="0"/>
        <v>0.9307225559999999</v>
      </c>
    </row>
    <row r="14" spans="5:14" ht="13.5">
      <c r="E14" s="10"/>
      <c r="F14" s="20">
        <v>8</v>
      </c>
      <c r="G14" s="22">
        <v>1.00012</v>
      </c>
      <c r="M14" s="20">
        <v>-2</v>
      </c>
      <c r="N14" s="22">
        <f t="shared" si="0"/>
        <v>0.931077936</v>
      </c>
    </row>
    <row r="15" spans="2:14" ht="13.5">
      <c r="B15" s="19"/>
      <c r="C15" s="19"/>
      <c r="D15" s="33">
        <f>LOOKUP(D5,F$6:F$58,F$6:F$58)</f>
        <v>5</v>
      </c>
      <c r="E15" s="19"/>
      <c r="F15" s="20">
        <v>9</v>
      </c>
      <c r="G15" s="22">
        <v>1.00019</v>
      </c>
      <c r="K15" s="33">
        <f>LOOKUP(K5,M$6:M$68,M$6:M$68)</f>
        <v>5</v>
      </c>
      <c r="M15" s="20">
        <v>-1</v>
      </c>
      <c r="N15" s="22">
        <f t="shared" si="0"/>
        <v>0.9314370839999999</v>
      </c>
    </row>
    <row r="16" spans="4:14" ht="13.5">
      <c r="D16" s="15">
        <f>LOOKUP(D15,F$6:F$58,G$6:G$58)</f>
        <v>1.00001</v>
      </c>
      <c r="F16" s="20">
        <v>10</v>
      </c>
      <c r="G16" s="22">
        <v>1.00027</v>
      </c>
      <c r="K16" s="15">
        <f>LOOKUP(K15,M$6:M$68,N$6:N$68)</f>
        <v>0.9336711</v>
      </c>
      <c r="M16" s="20">
        <v>0</v>
      </c>
      <c r="N16" s="22">
        <f t="shared" si="0"/>
        <v>0.9318</v>
      </c>
    </row>
    <row r="17" spans="4:14" ht="13.5">
      <c r="D17" s="33">
        <f ca="1">OFFSET($F$6,MATCH(D15,$F$6:$F$58,0),0,1,1)</f>
        <v>6</v>
      </c>
      <c r="F17" s="20">
        <v>11</v>
      </c>
      <c r="G17" s="22">
        <v>1.00037</v>
      </c>
      <c r="K17" s="33">
        <f ca="1">OFFSET($M$6,MATCH(K15,$M$6:$M$68,0),0,1,1)</f>
        <v>6</v>
      </c>
      <c r="M17" s="20">
        <v>1</v>
      </c>
      <c r="N17" s="22">
        <f t="shared" si="0"/>
        <v>0.932166684</v>
      </c>
    </row>
    <row r="18" spans="4:14" ht="13.5">
      <c r="D18" s="15">
        <f>LOOKUP(D17,F$6:F$58,G$6:G$58)</f>
        <v>1.00003</v>
      </c>
      <c r="F18" s="20">
        <v>12</v>
      </c>
      <c r="G18" s="22">
        <v>1.00048</v>
      </c>
      <c r="K18" s="15">
        <f>LOOKUP(K17,M$6:M$68,N$6:N$68)</f>
        <v>0.934056624</v>
      </c>
      <c r="M18" s="20">
        <v>2</v>
      </c>
      <c r="N18" s="22">
        <f t="shared" si="0"/>
        <v>0.932537136</v>
      </c>
    </row>
    <row r="19" spans="4:14" ht="13.5">
      <c r="D19" s="33">
        <f>LOOKUP(D6,F$6:F$58,F$6:F$58)</f>
        <v>60</v>
      </c>
      <c r="F19" s="20">
        <v>13</v>
      </c>
      <c r="G19" s="22">
        <v>1.0006</v>
      </c>
      <c r="K19" s="33">
        <f>LOOKUP(K6,M$6:M$68,M$6:M$68)</f>
        <v>60</v>
      </c>
      <c r="M19" s="20">
        <v>3</v>
      </c>
      <c r="N19" s="22">
        <f t="shared" si="0"/>
        <v>0.932911356</v>
      </c>
    </row>
    <row r="20" spans="4:14" ht="13.5">
      <c r="D20" s="15">
        <f>LOOKUP(D19,F$6:F$58,G$6:G$58)</f>
        <v>1.01705</v>
      </c>
      <c r="F20" s="20">
        <v>14</v>
      </c>
      <c r="G20" s="22">
        <v>1.00073</v>
      </c>
      <c r="K20" s="15">
        <f>LOOKUP(K19,M$6:M$68,N$6:N$68)</f>
        <v>0.9604704</v>
      </c>
      <c r="M20" s="20">
        <v>4</v>
      </c>
      <c r="N20" s="22">
        <f t="shared" si="0"/>
        <v>0.933289344</v>
      </c>
    </row>
    <row r="21" spans="4:14" ht="13.5">
      <c r="D21" s="33">
        <f ca="1">OFFSET($F$6,MATCH(D19,$F$6:$F$58,0),0,1,1)</f>
        <v>65</v>
      </c>
      <c r="F21" s="20">
        <v>15</v>
      </c>
      <c r="G21" s="22">
        <v>1.00087</v>
      </c>
      <c r="K21" s="33">
        <f ca="1">OFFSET($M$6,MATCH(K19,$M$6:$M$68,0),0,1,1)</f>
        <v>65</v>
      </c>
      <c r="M21" s="20">
        <v>5</v>
      </c>
      <c r="N21" s="22">
        <f t="shared" si="0"/>
        <v>0.9336711</v>
      </c>
    </row>
    <row r="22" spans="4:14" ht="13.5">
      <c r="D22" s="15">
        <f>LOOKUP(D21,F$6:F$58,G$6:G$58)</f>
        <v>1.01979</v>
      </c>
      <c r="F22" s="20">
        <v>16</v>
      </c>
      <c r="G22" s="22">
        <v>1.00103</v>
      </c>
      <c r="K22" s="15">
        <f>LOOKUP(K21,M$6:M$68,N$6:N$68)</f>
        <v>0.9634718999999999</v>
      </c>
      <c r="M22" s="20">
        <v>6</v>
      </c>
      <c r="N22" s="22">
        <f t="shared" si="0"/>
        <v>0.934056624</v>
      </c>
    </row>
    <row r="23" spans="6:14" ht="13.5">
      <c r="F23" s="20">
        <v>17</v>
      </c>
      <c r="G23" s="22">
        <v>1.0012</v>
      </c>
      <c r="M23" s="20">
        <v>7</v>
      </c>
      <c r="N23" s="22">
        <f t="shared" si="0"/>
        <v>0.934445916</v>
      </c>
    </row>
    <row r="24" spans="6:14" ht="13.5">
      <c r="F24" s="20">
        <v>18</v>
      </c>
      <c r="G24" s="23">
        <v>1.00138</v>
      </c>
      <c r="M24" s="20">
        <v>8</v>
      </c>
      <c r="N24" s="22">
        <f t="shared" si="0"/>
        <v>0.934838976</v>
      </c>
    </row>
    <row r="25" spans="6:14" ht="13.5">
      <c r="F25" s="20">
        <v>19</v>
      </c>
      <c r="G25" s="22">
        <v>1.00157</v>
      </c>
      <c r="M25" s="20">
        <v>9</v>
      </c>
      <c r="N25" s="22">
        <f t="shared" si="0"/>
        <v>0.935235804</v>
      </c>
    </row>
    <row r="26" spans="6:14" ht="13.5">
      <c r="F26" s="20">
        <v>20</v>
      </c>
      <c r="G26" s="22">
        <v>1.00177</v>
      </c>
      <c r="I26" s="25" t="s">
        <v>118</v>
      </c>
      <c r="J26" s="26">
        <v>0.9318</v>
      </c>
      <c r="M26" s="20">
        <v>10</v>
      </c>
      <c r="N26" s="22">
        <f t="shared" si="0"/>
        <v>0.9356363999999999</v>
      </c>
    </row>
    <row r="27" spans="6:14" ht="13.5">
      <c r="F27" s="20">
        <v>21</v>
      </c>
      <c r="G27" s="22">
        <v>1.00199</v>
      </c>
      <c r="I27" s="27" t="s">
        <v>119</v>
      </c>
      <c r="J27" s="26">
        <v>0.0003648</v>
      </c>
      <c r="M27" s="20">
        <v>11</v>
      </c>
      <c r="N27" s="22">
        <f t="shared" si="0"/>
        <v>0.936040764</v>
      </c>
    </row>
    <row r="28" spans="6:14" ht="13.5">
      <c r="F28" s="20">
        <v>22</v>
      </c>
      <c r="G28" s="22">
        <v>1.00221</v>
      </c>
      <c r="I28" s="27" t="s">
        <v>120</v>
      </c>
      <c r="J28" s="26">
        <v>1.884E-06</v>
      </c>
      <c r="M28" s="20">
        <v>12</v>
      </c>
      <c r="N28" s="22">
        <f t="shared" si="0"/>
        <v>0.9364488959999999</v>
      </c>
    </row>
    <row r="29" spans="6:14" ht="13.5">
      <c r="F29" s="20">
        <v>23</v>
      </c>
      <c r="G29" s="22">
        <v>1.00244</v>
      </c>
      <c r="I29" s="27" t="s">
        <v>121</v>
      </c>
      <c r="J29" s="28">
        <v>1.2</v>
      </c>
      <c r="M29" s="20">
        <v>13</v>
      </c>
      <c r="N29" s="22">
        <f t="shared" si="0"/>
        <v>0.936860796</v>
      </c>
    </row>
    <row r="30" spans="6:14" ht="13.5">
      <c r="F30" s="20">
        <v>24</v>
      </c>
      <c r="G30" s="22">
        <v>1.00269</v>
      </c>
      <c r="M30" s="20">
        <v>14</v>
      </c>
      <c r="N30" s="22">
        <f t="shared" si="0"/>
        <v>0.937276464</v>
      </c>
    </row>
    <row r="31" spans="6:14" ht="13.5">
      <c r="F31" s="20">
        <v>25</v>
      </c>
      <c r="G31" s="22">
        <v>1.00294</v>
      </c>
      <c r="M31" s="20">
        <v>15</v>
      </c>
      <c r="N31" s="22">
        <f t="shared" si="0"/>
        <v>0.9376959</v>
      </c>
    </row>
    <row r="32" spans="6:14" ht="13.5">
      <c r="F32" s="20">
        <v>26</v>
      </c>
      <c r="G32" s="22">
        <v>1.0032</v>
      </c>
      <c r="M32" s="20">
        <v>16</v>
      </c>
      <c r="N32" s="22">
        <f t="shared" si="0"/>
        <v>0.938119104</v>
      </c>
    </row>
    <row r="33" spans="6:14" ht="13.5">
      <c r="F33" s="20">
        <v>27</v>
      </c>
      <c r="G33" s="22">
        <v>1.00347</v>
      </c>
      <c r="M33" s="20">
        <v>17</v>
      </c>
      <c r="N33" s="22">
        <f t="shared" si="0"/>
        <v>0.938546076</v>
      </c>
    </row>
    <row r="34" spans="6:14" ht="13.5">
      <c r="F34" s="20">
        <v>28</v>
      </c>
      <c r="G34" s="22">
        <v>1.00375</v>
      </c>
      <c r="M34" s="20">
        <v>18</v>
      </c>
      <c r="N34" s="22">
        <f t="shared" si="0"/>
        <v>0.9389768159999999</v>
      </c>
    </row>
    <row r="35" spans="6:14" ht="13.5">
      <c r="F35" s="20">
        <v>29</v>
      </c>
      <c r="G35" s="22">
        <v>1.00405</v>
      </c>
      <c r="M35" s="20">
        <v>19</v>
      </c>
      <c r="N35" s="22">
        <f t="shared" si="0"/>
        <v>0.9394113239999999</v>
      </c>
    </row>
    <row r="36" spans="6:14" ht="13.5">
      <c r="F36" s="20">
        <v>30</v>
      </c>
      <c r="G36" s="22">
        <v>1.00435</v>
      </c>
      <c r="M36" s="20">
        <v>20</v>
      </c>
      <c r="N36" s="22">
        <f t="shared" si="0"/>
        <v>0.9398496</v>
      </c>
    </row>
    <row r="37" spans="6:14" ht="13.5">
      <c r="F37" s="20">
        <v>31</v>
      </c>
      <c r="G37" s="22">
        <v>1.00466</v>
      </c>
      <c r="M37" s="20">
        <v>21</v>
      </c>
      <c r="N37" s="22">
        <f t="shared" si="0"/>
        <v>0.940291644</v>
      </c>
    </row>
    <row r="38" spans="6:14" ht="13.5">
      <c r="F38" s="20">
        <v>32</v>
      </c>
      <c r="G38" s="22">
        <v>1.00497</v>
      </c>
      <c r="M38" s="20">
        <v>22</v>
      </c>
      <c r="N38" s="22">
        <f aca="true" t="shared" si="1" ref="N38:N68">$J$26+$J$27*M38+$J$28*M38^2</f>
        <v>0.9407374559999999</v>
      </c>
    </row>
    <row r="39" spans="6:14" ht="13.5">
      <c r="F39" s="20">
        <v>33</v>
      </c>
      <c r="G39" s="22">
        <v>1.0053</v>
      </c>
      <c r="M39" s="20">
        <v>23</v>
      </c>
      <c r="N39" s="22">
        <f t="shared" si="1"/>
        <v>0.941187036</v>
      </c>
    </row>
    <row r="40" spans="6:14" ht="13.5">
      <c r="F40" s="20">
        <v>34</v>
      </c>
      <c r="G40" s="22">
        <v>1.00563</v>
      </c>
      <c r="M40" s="20">
        <v>24</v>
      </c>
      <c r="N40" s="22">
        <f t="shared" si="1"/>
        <v>0.9416403839999999</v>
      </c>
    </row>
    <row r="41" spans="6:14" ht="13.5">
      <c r="F41" s="20">
        <v>35</v>
      </c>
      <c r="G41" s="22">
        <v>1.00598</v>
      </c>
      <c r="M41" s="20">
        <v>25</v>
      </c>
      <c r="N41" s="22">
        <f t="shared" si="1"/>
        <v>0.9420975</v>
      </c>
    </row>
    <row r="42" spans="6:14" ht="13.5">
      <c r="F42" s="20">
        <v>36</v>
      </c>
      <c r="G42" s="22">
        <v>1.00633</v>
      </c>
      <c r="M42" s="20">
        <v>26</v>
      </c>
      <c r="N42" s="22">
        <f t="shared" si="1"/>
        <v>0.9425583839999999</v>
      </c>
    </row>
    <row r="43" spans="6:14" ht="13.5">
      <c r="F43" s="20">
        <v>37</v>
      </c>
      <c r="G43" s="22">
        <v>1.00669</v>
      </c>
      <c r="M43" s="20">
        <v>27</v>
      </c>
      <c r="N43" s="22">
        <f t="shared" si="1"/>
        <v>0.9430230359999999</v>
      </c>
    </row>
    <row r="44" spans="6:14" ht="13.5">
      <c r="F44" s="20">
        <v>38</v>
      </c>
      <c r="G44" s="22">
        <v>1.00706</v>
      </c>
      <c r="M44" s="20">
        <v>28</v>
      </c>
      <c r="N44" s="22">
        <f t="shared" si="1"/>
        <v>0.943491456</v>
      </c>
    </row>
    <row r="45" spans="6:14" ht="13.5">
      <c r="F45" s="20">
        <v>39</v>
      </c>
      <c r="G45" s="22">
        <v>1.00743</v>
      </c>
      <c r="M45" s="20">
        <v>29</v>
      </c>
      <c r="N45" s="22">
        <f t="shared" si="1"/>
        <v>0.943963644</v>
      </c>
    </row>
    <row r="46" spans="6:14" ht="13.5">
      <c r="F46" s="20">
        <v>40</v>
      </c>
      <c r="G46" s="22">
        <v>1.00782</v>
      </c>
      <c r="M46" s="20">
        <v>30</v>
      </c>
      <c r="N46" s="22">
        <f t="shared" si="1"/>
        <v>0.9444395999999999</v>
      </c>
    </row>
    <row r="47" spans="6:14" ht="13.5">
      <c r="F47" s="20">
        <v>45</v>
      </c>
      <c r="G47" s="22">
        <v>1.00985</v>
      </c>
      <c r="M47" s="20">
        <v>31</v>
      </c>
      <c r="N47" s="22">
        <f t="shared" si="1"/>
        <v>0.944919324</v>
      </c>
    </row>
    <row r="48" spans="6:14" ht="13.5">
      <c r="F48" s="20">
        <v>50</v>
      </c>
      <c r="G48" s="22">
        <v>1.01207</v>
      </c>
      <c r="M48" s="20">
        <v>32</v>
      </c>
      <c r="N48" s="22">
        <f t="shared" si="1"/>
        <v>0.9454028159999999</v>
      </c>
    </row>
    <row r="49" spans="6:14" ht="13.5">
      <c r="F49" s="20">
        <v>55</v>
      </c>
      <c r="G49" s="22">
        <v>1.01448</v>
      </c>
      <c r="M49" s="20">
        <v>33</v>
      </c>
      <c r="N49" s="22">
        <f t="shared" si="1"/>
        <v>0.945890076</v>
      </c>
    </row>
    <row r="50" spans="6:14" ht="13.5">
      <c r="F50" s="20">
        <v>60</v>
      </c>
      <c r="G50" s="22">
        <v>1.01705</v>
      </c>
      <c r="M50" s="20">
        <v>34</v>
      </c>
      <c r="N50" s="22">
        <f t="shared" si="1"/>
        <v>0.9463811039999999</v>
      </c>
    </row>
    <row r="51" spans="6:14" ht="13.5">
      <c r="F51" s="20">
        <v>65</v>
      </c>
      <c r="G51" s="22">
        <v>1.01979</v>
      </c>
      <c r="M51" s="20">
        <v>35</v>
      </c>
      <c r="N51" s="22">
        <f t="shared" si="1"/>
        <v>0.9468759</v>
      </c>
    </row>
    <row r="52" spans="6:14" ht="13.5">
      <c r="F52" s="20">
        <v>70</v>
      </c>
      <c r="G52" s="22">
        <v>1.0227</v>
      </c>
      <c r="M52" s="20">
        <v>36</v>
      </c>
      <c r="N52" s="22">
        <f t="shared" si="1"/>
        <v>0.9473744639999999</v>
      </c>
    </row>
    <row r="53" spans="6:14" ht="13.5">
      <c r="F53" s="20">
        <v>75</v>
      </c>
      <c r="G53" s="22">
        <v>1.02576</v>
      </c>
      <c r="M53" s="20">
        <v>37</v>
      </c>
      <c r="N53" s="22">
        <f t="shared" si="1"/>
        <v>0.947876796</v>
      </c>
    </row>
    <row r="54" spans="6:14" ht="13.5">
      <c r="F54" s="20">
        <v>80</v>
      </c>
      <c r="G54" s="22">
        <v>1.02899</v>
      </c>
      <c r="M54" s="20">
        <v>38</v>
      </c>
      <c r="N54" s="22">
        <f t="shared" si="1"/>
        <v>0.948382896</v>
      </c>
    </row>
    <row r="55" spans="6:14" ht="13.5">
      <c r="F55" s="20">
        <v>85</v>
      </c>
      <c r="G55" s="22">
        <v>1.03237</v>
      </c>
      <c r="M55" s="20">
        <v>39</v>
      </c>
      <c r="N55" s="22">
        <f t="shared" si="1"/>
        <v>0.948892764</v>
      </c>
    </row>
    <row r="56" spans="6:14" ht="13.5">
      <c r="F56" s="20">
        <v>90</v>
      </c>
      <c r="G56" s="22">
        <v>1.0359</v>
      </c>
      <c r="M56" s="20">
        <v>40</v>
      </c>
      <c r="N56" s="22">
        <f t="shared" si="1"/>
        <v>0.9494064</v>
      </c>
    </row>
    <row r="57" spans="6:14" ht="13.5">
      <c r="F57" s="20">
        <v>95</v>
      </c>
      <c r="G57" s="22">
        <v>1.03959</v>
      </c>
      <c r="M57" s="20">
        <v>45</v>
      </c>
      <c r="N57" s="22">
        <f t="shared" si="1"/>
        <v>0.9520310999999999</v>
      </c>
    </row>
    <row r="58" spans="6:14" ht="13.5">
      <c r="F58" s="20">
        <v>100</v>
      </c>
      <c r="G58" s="22">
        <v>1.04343</v>
      </c>
      <c r="M58" s="20">
        <v>50</v>
      </c>
      <c r="N58" s="22">
        <f t="shared" si="1"/>
        <v>0.95475</v>
      </c>
    </row>
    <row r="59" spans="13:14" ht="13.5">
      <c r="M59" s="20">
        <v>55</v>
      </c>
      <c r="N59" s="22">
        <f t="shared" si="1"/>
        <v>0.9575630999999999</v>
      </c>
    </row>
    <row r="60" spans="13:14" ht="13.5">
      <c r="M60" s="20">
        <v>60</v>
      </c>
      <c r="N60" s="22">
        <f t="shared" si="1"/>
        <v>0.9604704</v>
      </c>
    </row>
    <row r="61" spans="13:14" ht="13.5">
      <c r="M61" s="20">
        <v>65</v>
      </c>
      <c r="N61" s="22">
        <f t="shared" si="1"/>
        <v>0.9634718999999999</v>
      </c>
    </row>
    <row r="62" spans="13:14" ht="13.5">
      <c r="M62" s="20">
        <v>70</v>
      </c>
      <c r="N62" s="22">
        <f t="shared" si="1"/>
        <v>0.9665676</v>
      </c>
    </row>
    <row r="63" spans="13:14" ht="13.5">
      <c r="M63" s="20">
        <v>75</v>
      </c>
      <c r="N63" s="22">
        <f t="shared" si="1"/>
        <v>0.9697575</v>
      </c>
    </row>
    <row r="64" spans="13:14" ht="13.5">
      <c r="M64" s="20">
        <v>80</v>
      </c>
      <c r="N64" s="22">
        <f t="shared" si="1"/>
        <v>0.9730416</v>
      </c>
    </row>
    <row r="65" spans="13:14" ht="13.5">
      <c r="M65" s="20">
        <v>85</v>
      </c>
      <c r="N65" s="22">
        <f t="shared" si="1"/>
        <v>0.9764199</v>
      </c>
    </row>
    <row r="66" spans="13:14" ht="13.5">
      <c r="M66" s="20">
        <v>90</v>
      </c>
      <c r="N66" s="22">
        <f t="shared" si="1"/>
        <v>0.9798923999999999</v>
      </c>
    </row>
    <row r="67" spans="13:14" ht="13.5">
      <c r="M67" s="20">
        <v>95</v>
      </c>
      <c r="N67" s="22">
        <f t="shared" si="1"/>
        <v>0.9834591</v>
      </c>
    </row>
    <row r="68" spans="13:14" ht="13.5">
      <c r="M68" s="20">
        <v>100</v>
      </c>
      <c r="N68" s="22">
        <f t="shared" si="1"/>
        <v>0.9871199999999999</v>
      </c>
    </row>
  </sheetData>
  <sheetProtection/>
  <mergeCells count="2">
    <mergeCell ref="B2:G2"/>
    <mergeCell ref="I2:N2"/>
  </mergeCells>
  <printOptions/>
  <pageMargins left="0.75" right="0.75"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9"/>
  <dimension ref="A1:A1"/>
  <sheetViews>
    <sheetView zoomScalePageLayoutView="0" workbookViewId="0" topLeftCell="A1">
      <selection activeCell="I3" sqref="I3"/>
    </sheetView>
  </sheetViews>
  <sheetFormatPr defaultColWidth="9.00390625" defaultRowHeight="13.5"/>
  <sheetData/>
  <sheetProtection/>
  <printOptions/>
  <pageMargins left="0.75" right="0.75" top="1" bottom="1" header="0.512" footer="0.51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環機技術部 機器開発課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0219</dc:creator>
  <cp:keywords/>
  <dc:description/>
  <cp:lastModifiedBy>0811</cp:lastModifiedBy>
  <cp:lastPrinted>2023-07-05T05:18:22Z</cp:lastPrinted>
  <dcterms:created xsi:type="dcterms:W3CDTF">2000-12-20T04:29:34Z</dcterms:created>
  <dcterms:modified xsi:type="dcterms:W3CDTF">2023-07-06T04:00:23Z</dcterms:modified>
  <cp:category/>
  <cp:version/>
  <cp:contentType/>
  <cp:contentStatus/>
</cp:coreProperties>
</file>